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 Documents\OneDrive\GH&amp;A Strategy\Transition from NCM Associates\GHA Website\"/>
    </mc:Choice>
  </mc:AlternateContent>
  <bookViews>
    <workbookView xWindow="-75" yWindow="-75" windowWidth="15450" windowHeight="9690"/>
  </bookViews>
  <sheets>
    <sheet name="KRA Report" sheetId="1" r:id="rId1"/>
  </sheets>
  <definedNames>
    <definedName name="_xlnm.Print_Area" localSheetId="0">'KRA Report'!$A$5:$J$128</definedName>
    <definedName name="Print_Fixed_Report">#REF!</definedName>
    <definedName name="Print_Sales_Report">'KRA Report'!$A$5:$J$129</definedName>
    <definedName name="_xlnm.Print_Titles" localSheetId="0">'KRA Report'!$1:$12</definedName>
    <definedName name="Titles">'KRA Report'!$11:$12</definedName>
  </definedNames>
  <calcPr calcId="171027"/>
</workbook>
</file>

<file path=xl/calcChain.xml><?xml version="1.0" encoding="utf-8"?>
<calcChain xmlns="http://schemas.openxmlformats.org/spreadsheetml/2006/main">
  <c r="C55" i="1" l="1"/>
  <c r="C31" i="1"/>
  <c r="B29" i="1"/>
  <c r="B88" i="1"/>
  <c r="C83" i="1"/>
  <c r="C23" i="1"/>
  <c r="C67" i="1" s="1"/>
  <c r="C59" i="1"/>
  <c r="D59" i="1" s="1"/>
  <c r="E59" i="1" s="1"/>
  <c r="I59" i="1" s="1"/>
  <c r="B50" i="1"/>
  <c r="B55" i="1" s="1"/>
  <c r="B52" i="1"/>
  <c r="B56" i="1" s="1"/>
  <c r="C56" i="1"/>
  <c r="C57" i="1" s="1"/>
  <c r="D57" i="1" s="1"/>
  <c r="E13" i="1"/>
  <c r="D52" i="1" s="1"/>
  <c r="D55" i="1"/>
  <c r="C54" i="1"/>
  <c r="D54" i="1" s="1"/>
  <c r="E54" i="1" s="1"/>
  <c r="D53" i="1"/>
  <c r="E53" i="1" s="1"/>
  <c r="C51" i="1"/>
  <c r="D51" i="1" s="1"/>
  <c r="E51" i="1" s="1"/>
  <c r="D50" i="1"/>
  <c r="D49" i="1"/>
  <c r="E49" i="1" s="1"/>
  <c r="C30" i="1"/>
  <c r="D30" i="1" s="1"/>
  <c r="E30" i="1" s="1"/>
  <c r="C27" i="1"/>
  <c r="D27" i="1" s="1"/>
  <c r="E27" i="1" s="1"/>
  <c r="D31" i="1"/>
  <c r="B31" i="1"/>
  <c r="E31" i="1"/>
  <c r="J31" i="1" s="1"/>
  <c r="D28" i="1"/>
  <c r="B28" i="1"/>
  <c r="E28" i="1" s="1"/>
  <c r="D26" i="1"/>
  <c r="E26" i="1"/>
  <c r="J26" i="1" s="1"/>
  <c r="I26" i="1"/>
  <c r="D25" i="1"/>
  <c r="E25" i="1" s="1"/>
  <c r="C32" i="1"/>
  <c r="C33" i="1" s="1"/>
  <c r="D33" i="1" s="1"/>
  <c r="B111" i="1"/>
  <c r="B114" i="1" s="1"/>
  <c r="B101" i="1"/>
  <c r="B100" i="1"/>
  <c r="B99" i="1"/>
  <c r="C47" i="1"/>
  <c r="D47" i="1"/>
  <c r="C35" i="1"/>
  <c r="D70" i="1"/>
  <c r="M14" i="1"/>
  <c r="N14" i="1"/>
  <c r="O14" i="1"/>
  <c r="D23" i="1"/>
  <c r="C36" i="1" s="1"/>
  <c r="D36" i="1" s="1"/>
  <c r="D19" i="1"/>
  <c r="D24" i="1"/>
  <c r="D43" i="1"/>
  <c r="D66" i="1"/>
  <c r="D68" i="1"/>
  <c r="E77" i="1"/>
  <c r="D95" i="1" s="1"/>
  <c r="E95" i="1" s="1"/>
  <c r="C24" i="1"/>
  <c r="C69" i="1"/>
  <c r="C118" i="1"/>
  <c r="B24" i="1"/>
  <c r="B48" i="1"/>
  <c r="B67" i="1"/>
  <c r="B69" i="1"/>
  <c r="B118" i="1"/>
  <c r="D114" i="1"/>
  <c r="D113" i="1"/>
  <c r="E113" i="1" s="1"/>
  <c r="D112" i="1"/>
  <c r="E112" i="1" s="1"/>
  <c r="D98" i="1"/>
  <c r="B98" i="1"/>
  <c r="E98" i="1" s="1"/>
  <c r="D97" i="1"/>
  <c r="B95" i="1"/>
  <c r="E97" i="1"/>
  <c r="G97" i="1" s="1"/>
  <c r="J97" i="1"/>
  <c r="I97" i="1"/>
  <c r="H97" i="1"/>
  <c r="D104" i="1"/>
  <c r="E104" i="1"/>
  <c r="J104" i="1" s="1"/>
  <c r="D101" i="1"/>
  <c r="E101" i="1" s="1"/>
  <c r="D99" i="1"/>
  <c r="D90" i="1"/>
  <c r="E90" i="1" s="1"/>
  <c r="D88" i="1"/>
  <c r="E88" i="1"/>
  <c r="G88" i="1" s="1"/>
  <c r="D86" i="1"/>
  <c r="E86" i="1"/>
  <c r="J86" i="1" s="1"/>
  <c r="D83" i="1"/>
  <c r="E83" i="1"/>
  <c r="H83" i="1" s="1"/>
  <c r="D84" i="1"/>
  <c r="E84" i="1"/>
  <c r="J84" i="1" s="1"/>
  <c r="I84" i="1"/>
  <c r="G84" i="1"/>
  <c r="E70" i="1"/>
  <c r="J70" i="1" s="1"/>
  <c r="I70" i="1"/>
  <c r="G70" i="1"/>
  <c r="E68" i="1"/>
  <c r="J68" i="1" s="1"/>
  <c r="E66" i="1"/>
  <c r="J66" i="1" s="1"/>
  <c r="I66" i="1"/>
  <c r="B58" i="1"/>
  <c r="B61" i="1" s="1"/>
  <c r="B59" i="1"/>
  <c r="B60" i="1" s="1"/>
  <c r="D61" i="1"/>
  <c r="D58" i="1"/>
  <c r="E47" i="1"/>
  <c r="I47" i="1" s="1"/>
  <c r="G47" i="1"/>
  <c r="E43" i="1"/>
  <c r="I43" i="1"/>
  <c r="G43" i="1"/>
  <c r="B34" i="1"/>
  <c r="B37" i="1" s="1"/>
  <c r="D37" i="1"/>
  <c r="D35" i="1"/>
  <c r="D32" i="1"/>
  <c r="E24" i="1"/>
  <c r="G24" i="1" s="1"/>
  <c r="E23" i="1"/>
  <c r="J23" i="1" s="1"/>
  <c r="E19" i="1"/>
  <c r="H19" i="1" s="1"/>
  <c r="D34" i="1"/>
  <c r="H24" i="1"/>
  <c r="J24" i="1"/>
  <c r="H23" i="1"/>
  <c r="F23" i="1"/>
  <c r="I19" i="1"/>
  <c r="A128" i="1"/>
  <c r="A127" i="1"/>
  <c r="A126" i="1"/>
  <c r="A125" i="1"/>
  <c r="A124" i="1"/>
  <c r="I23" i="1"/>
  <c r="G23" i="1"/>
  <c r="H47" i="1"/>
  <c r="F47" i="1"/>
  <c r="F86" i="1"/>
  <c r="I86" i="1"/>
  <c r="D48" i="1"/>
  <c r="E48" i="1" s="1"/>
  <c r="C60" i="1"/>
  <c r="D60" i="1" s="1"/>
  <c r="E60" i="1" s="1"/>
  <c r="H25" i="1"/>
  <c r="I25" i="1"/>
  <c r="I30" i="1"/>
  <c r="J30" i="1"/>
  <c r="F30" i="1"/>
  <c r="G51" i="1"/>
  <c r="H51" i="1"/>
  <c r="I54" i="1"/>
  <c r="J54" i="1"/>
  <c r="F54" i="1"/>
  <c r="J43" i="1"/>
  <c r="H43" i="1"/>
  <c r="F43" i="1"/>
  <c r="J83" i="1"/>
  <c r="F83" i="1"/>
  <c r="I83" i="1"/>
  <c r="J88" i="1"/>
  <c r="H88" i="1"/>
  <c r="F88" i="1"/>
  <c r="I88" i="1"/>
  <c r="H101" i="1"/>
  <c r="I101" i="1"/>
  <c r="D82" i="1"/>
  <c r="D85" i="1" s="1"/>
  <c r="E85" i="1" s="1"/>
  <c r="D87" i="1"/>
  <c r="E87" i="1"/>
  <c r="J87" i="1" s="1"/>
  <c r="H90" i="1"/>
  <c r="D100" i="1"/>
  <c r="E100" i="1"/>
  <c r="H100" i="1" s="1"/>
  <c r="F104" i="1"/>
  <c r="H104" i="1"/>
  <c r="D94" i="1"/>
  <c r="E94" i="1" s="1"/>
  <c r="D108" i="1"/>
  <c r="E108" i="1" s="1"/>
  <c r="G108" i="1" s="1"/>
  <c r="D110" i="1"/>
  <c r="E110" i="1" s="1"/>
  <c r="G110" i="1" s="1"/>
  <c r="F113" i="1"/>
  <c r="C48" i="1"/>
  <c r="D111" i="1"/>
  <c r="E111" i="1" s="1"/>
  <c r="B32" i="1"/>
  <c r="B33" i="1" s="1"/>
  <c r="E33" i="1" s="1"/>
  <c r="F26" i="1"/>
  <c r="H26" i="1"/>
  <c r="F31" i="1"/>
  <c r="H31" i="1"/>
  <c r="E32" i="1"/>
  <c r="J32" i="1" s="1"/>
  <c r="F108" i="1"/>
  <c r="I100" i="1"/>
  <c r="G100" i="1"/>
  <c r="J100" i="1"/>
  <c r="F100" i="1"/>
  <c r="J111" i="1"/>
  <c r="H111" i="1"/>
  <c r="F111" i="1"/>
  <c r="I111" i="1"/>
  <c r="G111" i="1"/>
  <c r="I110" i="1"/>
  <c r="F110" i="1"/>
  <c r="I87" i="1"/>
  <c r="G87" i="1"/>
  <c r="I32" i="1"/>
  <c r="G32" i="1"/>
  <c r="I48" i="1" l="1"/>
  <c r="G48" i="1"/>
  <c r="H48" i="1"/>
  <c r="J48" i="1"/>
  <c r="F48" i="1"/>
  <c r="H53" i="1"/>
  <c r="F53" i="1"/>
  <c r="I53" i="1"/>
  <c r="G53" i="1"/>
  <c r="J53" i="1"/>
  <c r="G94" i="1"/>
  <c r="F94" i="1"/>
  <c r="J94" i="1"/>
  <c r="H94" i="1"/>
  <c r="I94" i="1"/>
  <c r="J95" i="1"/>
  <c r="H95" i="1"/>
  <c r="F95" i="1"/>
  <c r="G95" i="1"/>
  <c r="I95" i="1"/>
  <c r="G27" i="1"/>
  <c r="H27" i="1"/>
  <c r="J28" i="1"/>
  <c r="H28" i="1"/>
  <c r="F28" i="1"/>
  <c r="I28" i="1"/>
  <c r="G28" i="1"/>
  <c r="G112" i="1"/>
  <c r="J112" i="1"/>
  <c r="H112" i="1"/>
  <c r="F112" i="1"/>
  <c r="I112" i="1"/>
  <c r="J49" i="1"/>
  <c r="I49" i="1"/>
  <c r="F49" i="1"/>
  <c r="H49" i="1"/>
  <c r="F32" i="1"/>
  <c r="H110" i="1"/>
  <c r="E50" i="1"/>
  <c r="H32" i="1"/>
  <c r="E61" i="1"/>
  <c r="G61" i="1" s="1"/>
  <c r="D103" i="1"/>
  <c r="E103" i="1" s="1"/>
  <c r="C71" i="1"/>
  <c r="C73" i="1" s="1"/>
  <c r="D96" i="1"/>
  <c r="E96" i="1" s="1"/>
  <c r="J110" i="1"/>
  <c r="E82" i="1"/>
  <c r="H108" i="1"/>
  <c r="F87" i="1"/>
  <c r="G83" i="1"/>
  <c r="G86" i="1"/>
  <c r="J47" i="1"/>
  <c r="G66" i="1"/>
  <c r="I104" i="1"/>
  <c r="D102" i="1"/>
  <c r="E102" i="1" s="1"/>
  <c r="D89" i="1"/>
  <c r="D56" i="1"/>
  <c r="E56" i="1" s="1"/>
  <c r="H87" i="1"/>
  <c r="D109" i="1"/>
  <c r="E109" i="1" s="1"/>
  <c r="D69" i="1"/>
  <c r="E69" i="1" s="1"/>
  <c r="E114" i="1"/>
  <c r="F114" i="1" s="1"/>
  <c r="E52" i="1"/>
  <c r="H86" i="1"/>
  <c r="F19" i="1"/>
  <c r="F24" i="1"/>
  <c r="G68" i="1"/>
  <c r="F97" i="1"/>
  <c r="D67" i="1"/>
  <c r="E67" i="1" s="1"/>
  <c r="D29" i="1"/>
  <c r="E29" i="1" s="1"/>
  <c r="G19" i="1"/>
  <c r="I68" i="1"/>
  <c r="E99" i="1"/>
  <c r="I31" i="1"/>
  <c r="H60" i="1"/>
  <c r="G60" i="1"/>
  <c r="J60" i="1"/>
  <c r="F60" i="1"/>
  <c r="I60" i="1"/>
  <c r="J85" i="1"/>
  <c r="F85" i="1"/>
  <c r="G85" i="1"/>
  <c r="H85" i="1"/>
  <c r="I85" i="1"/>
  <c r="H33" i="1"/>
  <c r="I33" i="1"/>
  <c r="F33" i="1"/>
  <c r="J33" i="1"/>
  <c r="G33" i="1"/>
  <c r="I108" i="1"/>
  <c r="J108" i="1"/>
  <c r="J59" i="1"/>
  <c r="F59" i="1"/>
  <c r="H59" i="1"/>
  <c r="G59" i="1"/>
  <c r="J99" i="1"/>
  <c r="F99" i="1"/>
  <c r="G99" i="1"/>
  <c r="G114" i="1"/>
  <c r="J114" i="1"/>
  <c r="I114" i="1"/>
  <c r="H114" i="1"/>
  <c r="J25" i="1"/>
  <c r="F25" i="1"/>
  <c r="G25" i="1"/>
  <c r="I27" i="1"/>
  <c r="J27" i="1"/>
  <c r="F27" i="1"/>
  <c r="G30" i="1"/>
  <c r="H30" i="1"/>
  <c r="I51" i="1"/>
  <c r="J51" i="1"/>
  <c r="F51" i="1"/>
  <c r="G54" i="1"/>
  <c r="H54" i="1"/>
  <c r="E37" i="1"/>
  <c r="J90" i="1"/>
  <c r="G90" i="1"/>
  <c r="I90" i="1"/>
  <c r="F90" i="1"/>
  <c r="J101" i="1"/>
  <c r="F101" i="1"/>
  <c r="G101" i="1"/>
  <c r="J98" i="1"/>
  <c r="H98" i="1"/>
  <c r="F98" i="1"/>
  <c r="I98" i="1"/>
  <c r="G98" i="1"/>
  <c r="J113" i="1"/>
  <c r="G113" i="1"/>
  <c r="I113" i="1"/>
  <c r="H113" i="1"/>
  <c r="H29" i="1"/>
  <c r="I29" i="1"/>
  <c r="B57" i="1"/>
  <c r="E57" i="1" s="1"/>
  <c r="E55" i="1"/>
  <c r="D71" i="1"/>
  <c r="D73" i="1" s="1"/>
  <c r="J19" i="1"/>
  <c r="I24" i="1"/>
  <c r="B35" i="1"/>
  <c r="B36" i="1" s="1"/>
  <c r="E36" i="1" s="1"/>
  <c r="F66" i="1"/>
  <c r="H66" i="1"/>
  <c r="F68" i="1"/>
  <c r="H68" i="1"/>
  <c r="F70" i="1"/>
  <c r="H70" i="1"/>
  <c r="F84" i="1"/>
  <c r="H84" i="1"/>
  <c r="G103" i="1"/>
  <c r="G104" i="1"/>
  <c r="B71" i="1"/>
  <c r="G26" i="1"/>
  <c r="G31" i="1"/>
  <c r="G49" i="1"/>
  <c r="G52" i="1"/>
  <c r="C72" i="1"/>
  <c r="D72" i="1" s="1"/>
  <c r="I56" i="1" l="1"/>
  <c r="H56" i="1"/>
  <c r="J56" i="1"/>
  <c r="F56" i="1"/>
  <c r="G56" i="1"/>
  <c r="C122" i="1"/>
  <c r="C74" i="1"/>
  <c r="G69" i="1"/>
  <c r="J69" i="1"/>
  <c r="F69" i="1"/>
  <c r="I69" i="1"/>
  <c r="H69" i="1"/>
  <c r="F61" i="1"/>
  <c r="J29" i="1"/>
  <c r="G29" i="1"/>
  <c r="F29" i="1"/>
  <c r="H61" i="1"/>
  <c r="J52" i="1"/>
  <c r="I52" i="1"/>
  <c r="F52" i="1"/>
  <c r="H52" i="1"/>
  <c r="J50" i="1"/>
  <c r="H50" i="1"/>
  <c r="F50" i="1"/>
  <c r="I50" i="1"/>
  <c r="G50" i="1"/>
  <c r="J61" i="1"/>
  <c r="H99" i="1"/>
  <c r="I99" i="1"/>
  <c r="E89" i="1"/>
  <c r="D118" i="1"/>
  <c r="E118" i="1" s="1"/>
  <c r="H96" i="1"/>
  <c r="F96" i="1"/>
  <c r="I96" i="1"/>
  <c r="G96" i="1"/>
  <c r="J96" i="1"/>
  <c r="I61" i="1"/>
  <c r="I67" i="1"/>
  <c r="J67" i="1"/>
  <c r="G67" i="1"/>
  <c r="H67" i="1"/>
  <c r="F67" i="1"/>
  <c r="J109" i="1"/>
  <c r="H109" i="1"/>
  <c r="F109" i="1"/>
  <c r="I109" i="1"/>
  <c r="G109" i="1"/>
  <c r="H102" i="1"/>
  <c r="F102" i="1"/>
  <c r="I102" i="1"/>
  <c r="G102" i="1"/>
  <c r="J102" i="1"/>
  <c r="I82" i="1"/>
  <c r="G82" i="1"/>
  <c r="H82" i="1"/>
  <c r="J82" i="1"/>
  <c r="F82" i="1"/>
  <c r="J103" i="1"/>
  <c r="F103" i="1"/>
  <c r="H103" i="1"/>
  <c r="I103" i="1"/>
  <c r="H36" i="1"/>
  <c r="I36" i="1"/>
  <c r="J36" i="1"/>
  <c r="F36" i="1"/>
  <c r="G36" i="1"/>
  <c r="B72" i="1"/>
  <c r="E72" i="1" s="1"/>
  <c r="E71" i="1"/>
  <c r="B73" i="1"/>
  <c r="H57" i="1"/>
  <c r="I57" i="1"/>
  <c r="J57" i="1"/>
  <c r="F57" i="1"/>
  <c r="G57" i="1"/>
  <c r="J37" i="1"/>
  <c r="H37" i="1"/>
  <c r="G37" i="1"/>
  <c r="F37" i="1"/>
  <c r="I37" i="1"/>
  <c r="E35" i="1"/>
  <c r="D74" i="1"/>
  <c r="D122" i="1"/>
  <c r="I55" i="1"/>
  <c r="J55" i="1"/>
  <c r="G55" i="1"/>
  <c r="F55" i="1"/>
  <c r="H55" i="1"/>
  <c r="I118" i="1" l="1"/>
  <c r="H118" i="1"/>
  <c r="F118" i="1"/>
  <c r="G118" i="1"/>
  <c r="J118" i="1"/>
  <c r="I89" i="1"/>
  <c r="G89" i="1"/>
  <c r="J89" i="1"/>
  <c r="H89" i="1"/>
  <c r="F89" i="1"/>
  <c r="J35" i="1"/>
  <c r="F35" i="1"/>
  <c r="H35" i="1"/>
  <c r="I35" i="1"/>
  <c r="G35" i="1"/>
  <c r="J71" i="1"/>
  <c r="F71" i="1"/>
  <c r="G71" i="1"/>
  <c r="H71" i="1"/>
  <c r="I71" i="1"/>
  <c r="B74" i="1"/>
  <c r="E74" i="1" s="1"/>
  <c r="B122" i="1"/>
  <c r="E122" i="1" s="1"/>
  <c r="E73" i="1"/>
  <c r="H72" i="1"/>
  <c r="I72" i="1"/>
  <c r="J72" i="1"/>
  <c r="F72" i="1"/>
  <c r="G72" i="1"/>
  <c r="H122" i="1" l="1"/>
  <c r="I122" i="1"/>
  <c r="J122" i="1"/>
  <c r="F122" i="1"/>
  <c r="G122" i="1"/>
  <c r="I73" i="1"/>
  <c r="J73" i="1"/>
  <c r="F73" i="1"/>
  <c r="G73" i="1"/>
  <c r="H73" i="1"/>
  <c r="I74" i="1"/>
  <c r="J74" i="1"/>
  <c r="F74" i="1"/>
  <c r="G74" i="1"/>
  <c r="H74" i="1"/>
</calcChain>
</file>

<file path=xl/sharedStrings.xml><?xml version="1.0" encoding="utf-8"?>
<sst xmlns="http://schemas.openxmlformats.org/spreadsheetml/2006/main" count="123" uniqueCount="102">
  <si>
    <t xml:space="preserve">  Avg. C/P Hours Per C/P Repair Order</t>
  </si>
  <si>
    <t xml:space="preserve">  Total C/P Labor Sales</t>
  </si>
  <si>
    <t xml:space="preserve">  Ratio - C/P Parts to C/P Labor</t>
  </si>
  <si>
    <r>
      <t xml:space="preserve">  Total </t>
    </r>
    <r>
      <rPr>
        <b/>
        <u/>
        <sz val="12"/>
        <rFont val="Times New Roman"/>
        <family val="1"/>
      </rPr>
      <t>Shop</t>
    </r>
    <r>
      <rPr>
        <b/>
        <sz val="12"/>
        <rFont val="Times New Roman"/>
        <family val="1"/>
      </rPr>
      <t xml:space="preserve"> Hours Billed</t>
    </r>
  </si>
  <si>
    <r>
      <t xml:space="preserve">  </t>
    </r>
    <r>
      <rPr>
        <b/>
        <u/>
        <sz val="12"/>
        <rFont val="Times New Roman"/>
        <family val="1"/>
      </rPr>
      <t>Shop</t>
    </r>
    <r>
      <rPr>
        <b/>
        <sz val="12"/>
        <rFont val="Times New Roman"/>
        <family val="1"/>
      </rPr>
      <t xml:space="preserve"> Productivity Percentage</t>
    </r>
  </si>
  <si>
    <t xml:space="preserve">  Total Carry-overs (This Date)</t>
  </si>
  <si>
    <t xml:space="preserve">  Total Gross Profit</t>
  </si>
  <si>
    <t xml:space="preserve">  Total Department Sales</t>
  </si>
  <si>
    <t>(To Be Prepared Every Morning, Based on Close of Prior Day Accounting)</t>
  </si>
  <si>
    <t xml:space="preserve">Data Through This Date: </t>
  </si>
  <si>
    <t>*** Assumes Sales/Gross as Follows:  First 1/3 of Month - 33.3%, 2nd 1/3 of Month - 33.3%, Last 1/3 of Month - 33.3%</t>
  </si>
  <si>
    <t>Monthly           Pace</t>
  </si>
  <si>
    <t xml:space="preserve">New Vehicle Sales &amp; Gross </t>
  </si>
  <si>
    <t>% Expected to Post</t>
  </si>
  <si>
    <t>Total "Real Deals"</t>
  </si>
  <si>
    <t xml:space="preserve">  Total OTDB's - All Categories</t>
  </si>
  <si>
    <t>Total Delivery Rate</t>
  </si>
  <si>
    <t xml:space="preserve">  Total Inventory Availability</t>
  </si>
  <si>
    <t>Days Supply At Forecast</t>
  </si>
  <si>
    <t>Days Supply At Current Pace</t>
  </si>
  <si>
    <t>Of Our Month Is Now Gone!</t>
  </si>
  <si>
    <t xml:space="preserve">  Over-Age New Units (Acctng.) - 121+</t>
  </si>
  <si>
    <t>**See Note</t>
  </si>
  <si>
    <t xml:space="preserve">  Un-Posted Deals (Accounting)</t>
  </si>
  <si>
    <t xml:space="preserve">  Pending Deals (F&amp;I)</t>
  </si>
  <si>
    <t>KRA Control Category</t>
  </si>
  <si>
    <t>Monthly Commitment</t>
  </si>
  <si>
    <t>MTD Actual</t>
  </si>
  <si>
    <t>Percent to                             Commitment</t>
  </si>
  <si>
    <t xml:space="preserve">Used Vehicle Sales &amp; Gross </t>
  </si>
  <si>
    <t xml:space="preserve">  Total Back Gross - New </t>
  </si>
  <si>
    <r>
      <t xml:space="preserve">  Avg. Back Gross - </t>
    </r>
    <r>
      <rPr>
        <b/>
        <u/>
        <sz val="12"/>
        <rFont val="Times New Roman"/>
        <family val="1"/>
      </rPr>
      <t>New</t>
    </r>
    <r>
      <rPr>
        <b/>
        <sz val="12"/>
        <rFont val="Times New Roman"/>
        <family val="1"/>
      </rPr>
      <t xml:space="preserve"> (Accounting)</t>
    </r>
  </si>
  <si>
    <r>
      <t xml:space="preserve">  Avg. Back Gross - </t>
    </r>
    <r>
      <rPr>
        <b/>
        <u/>
        <sz val="12"/>
        <rFont val="Times New Roman"/>
        <family val="1"/>
      </rPr>
      <t>Used</t>
    </r>
    <r>
      <rPr>
        <b/>
        <sz val="12"/>
        <rFont val="Times New Roman"/>
        <family val="1"/>
      </rPr>
      <t xml:space="preserve"> (Accounting)</t>
    </r>
  </si>
  <si>
    <t xml:space="preserve">  Total Back Gross - Used</t>
  </si>
  <si>
    <t>Departmental Chargebacks</t>
  </si>
  <si>
    <t xml:space="preserve">  Total Income (Pre-Comp.)</t>
  </si>
  <si>
    <t>Avg. $PVR (Pre-Comp.)</t>
  </si>
  <si>
    <t>Total Variable Gross</t>
  </si>
  <si>
    <t>Overall $PVR (Pre-Comp.)</t>
  </si>
  <si>
    <t>Mechanical Service</t>
  </si>
  <si>
    <t>(Not Including Saturdays)</t>
  </si>
  <si>
    <t xml:space="preserve">  C/P Effective Labor Rate</t>
  </si>
  <si>
    <t>Collision Center</t>
  </si>
  <si>
    <t xml:space="preserve">  Estimates Confirmed (Approved) MTD</t>
  </si>
  <si>
    <t xml:space="preserve">  Estimates Written or Received MTD</t>
  </si>
  <si>
    <t xml:space="preserve">  Current Backlog of Jobs</t>
  </si>
  <si>
    <t xml:space="preserve">  Current Backlog Value (Sheets Total)</t>
  </si>
  <si>
    <t>"Batting Average" (% Closed)</t>
  </si>
  <si>
    <t xml:space="preserve">  Ratio - C/P Parts to Metal Labor</t>
  </si>
  <si>
    <t xml:space="preserve">  Productivity Percentage (Combined)</t>
  </si>
  <si>
    <t xml:space="preserve">  Jobs Past Promise Date</t>
  </si>
  <si>
    <t>Parts Department</t>
  </si>
  <si>
    <r>
      <t xml:space="preserve">  Total </t>
    </r>
    <r>
      <rPr>
        <b/>
        <sz val="16"/>
        <rFont val="Times New Roman"/>
        <family val="1"/>
      </rPr>
      <t>Service</t>
    </r>
    <r>
      <rPr>
        <b/>
        <sz val="16"/>
        <rFont val="Times New Roman"/>
        <family val="1"/>
      </rPr>
      <t xml:space="preserve"> Gross Profit</t>
    </r>
  </si>
  <si>
    <r>
      <t xml:space="preserve">  Total </t>
    </r>
    <r>
      <rPr>
        <b/>
        <sz val="16"/>
        <rFont val="Times New Roman"/>
        <family val="1"/>
      </rPr>
      <t>Dept.</t>
    </r>
    <r>
      <rPr>
        <b/>
        <sz val="16"/>
        <rFont val="Times New Roman"/>
        <family val="1"/>
      </rPr>
      <t xml:space="preserve"> Gross Profit</t>
    </r>
  </si>
  <si>
    <r>
      <t xml:space="preserve">  Total </t>
    </r>
    <r>
      <rPr>
        <b/>
        <sz val="16"/>
        <rFont val="Times New Roman"/>
        <family val="1"/>
      </rPr>
      <t>Sales (Incl. Parts)</t>
    </r>
  </si>
  <si>
    <r>
      <t xml:space="preserve">  Total </t>
    </r>
    <r>
      <rPr>
        <b/>
        <u/>
        <sz val="12"/>
        <rFont val="Times New Roman"/>
        <family val="1"/>
      </rPr>
      <t>Shop</t>
    </r>
    <r>
      <rPr>
        <b/>
        <sz val="12"/>
        <rFont val="Times New Roman"/>
        <family val="1"/>
      </rPr>
      <t xml:space="preserve"> Hours Closed</t>
    </r>
  </si>
  <si>
    <t xml:space="preserve">  Wholesale Parts Sales</t>
  </si>
  <si>
    <t xml:space="preserve">  Counter Retail Parts Sales</t>
  </si>
  <si>
    <t>Overall GPM</t>
  </si>
  <si>
    <r>
      <t xml:space="preserve">  Total </t>
    </r>
    <r>
      <rPr>
        <b/>
        <sz val="16"/>
        <rFont val="Times New Roman"/>
        <family val="1"/>
      </rPr>
      <t>Inventory Value (Pad)</t>
    </r>
  </si>
  <si>
    <r>
      <t xml:space="preserve">  </t>
    </r>
    <r>
      <rPr>
        <b/>
        <sz val="16"/>
        <rFont val="Times New Roman"/>
        <family val="1"/>
      </rPr>
      <t>Inventory Days Supply (Pad)</t>
    </r>
  </si>
  <si>
    <t>Operating Departments - All</t>
  </si>
  <si>
    <t>Fixed Operations Total</t>
  </si>
  <si>
    <t xml:space="preserve">  Fixed Gross Profit</t>
  </si>
  <si>
    <t>KRA Pace at Less Than 75.0% of Commitment/Guide</t>
  </si>
  <si>
    <t>KRA Pace at 75.0% - 84.9% of Commitment/Guide</t>
  </si>
  <si>
    <t>KRA Pace at 85.0% - 94.9% of Commitment/Guide</t>
  </si>
  <si>
    <t>KRA Pace at 95.0% - 104.9% of Commitment/Guide</t>
  </si>
  <si>
    <t>KRA Pace at 105.0% of Commitment/Guide or More</t>
  </si>
  <si>
    <t xml:space="preserve">  Over-Age Used Units (Acctng.) - 60+</t>
  </si>
  <si>
    <t xml:space="preserve">Dealership: </t>
  </si>
  <si>
    <t>Variable Departments</t>
  </si>
  <si>
    <t xml:space="preserve">  Total Business Days This Month</t>
  </si>
  <si>
    <t xml:space="preserve">  Total Units Delivered (Accounting)</t>
  </si>
  <si>
    <t xml:space="preserve">  Avg. Front Gross (Accounting)</t>
  </si>
  <si>
    <t xml:space="preserve">  Total Front Gross (Estimate)</t>
  </si>
  <si>
    <t xml:space="preserve">F&amp;I Sales &amp; Gross </t>
  </si>
  <si>
    <t>J</t>
  </si>
  <si>
    <t>K</t>
  </si>
  <si>
    <t>L</t>
  </si>
  <si>
    <t>q</t>
  </si>
  <si>
    <t>D</t>
  </si>
  <si>
    <t>C</t>
  </si>
  <si>
    <t>B</t>
  </si>
  <si>
    <t>N</t>
  </si>
  <si>
    <t>M</t>
  </si>
  <si>
    <t>Fixed Departments</t>
  </si>
  <si>
    <t xml:space="preserve">  Total Full Business Days This Month</t>
  </si>
  <si>
    <t xml:space="preserve">  C/P Repair Orders Written</t>
  </si>
  <si>
    <t>OTDB Count - Internet Dept.</t>
  </si>
  <si>
    <r>
      <t>"</t>
    </r>
    <r>
      <rPr>
        <b/>
        <i/>
        <sz val="16"/>
        <rFont val="Times New Roman"/>
        <family val="1"/>
      </rPr>
      <t>Real Deals</t>
    </r>
    <r>
      <rPr>
        <b/>
        <sz val="16"/>
        <rFont val="Times New Roman"/>
        <family val="1"/>
      </rPr>
      <t>" - Internet Dept.</t>
    </r>
  </si>
  <si>
    <t>Department Delivery Rate</t>
  </si>
  <si>
    <t>OTDB Count - Sales Desk</t>
  </si>
  <si>
    <r>
      <t>"</t>
    </r>
    <r>
      <rPr>
        <b/>
        <i/>
        <sz val="16"/>
        <rFont val="Times New Roman"/>
        <family val="1"/>
      </rPr>
      <t>Real Deals</t>
    </r>
    <r>
      <rPr>
        <b/>
        <sz val="16"/>
        <rFont val="Times New Roman"/>
        <family val="1"/>
      </rPr>
      <t>" - Sales Desk</t>
    </r>
  </si>
  <si>
    <r>
      <t>Total '"</t>
    </r>
    <r>
      <rPr>
        <b/>
        <i/>
        <sz val="14"/>
        <rFont val="Times New Roman"/>
        <family val="1"/>
      </rPr>
      <t>Real Deals</t>
    </r>
    <r>
      <rPr>
        <b/>
        <sz val="14"/>
        <rFont val="Times New Roman"/>
        <family val="1"/>
      </rPr>
      <t xml:space="preserve">" - Pre-Owned  </t>
    </r>
    <r>
      <rPr>
        <b/>
        <sz val="16"/>
        <rFont val="Times New Roman"/>
        <family val="1"/>
      </rPr>
      <t xml:space="preserve">                                      </t>
    </r>
    <r>
      <rPr>
        <b/>
        <i/>
        <sz val="14"/>
        <color indexed="12"/>
        <rFont val="Times New Roman"/>
        <family val="1"/>
      </rPr>
      <t>(Should Equal Row 43)</t>
    </r>
  </si>
  <si>
    <r>
      <t>Total '"</t>
    </r>
    <r>
      <rPr>
        <b/>
        <i/>
        <sz val="14"/>
        <rFont val="Times New Roman"/>
        <family val="1"/>
      </rPr>
      <t>Real Deals</t>
    </r>
    <r>
      <rPr>
        <b/>
        <sz val="14"/>
        <rFont val="Times New Roman"/>
        <family val="1"/>
      </rPr>
      <t xml:space="preserve">" - New  </t>
    </r>
    <r>
      <rPr>
        <b/>
        <sz val="16"/>
        <rFont val="Times New Roman"/>
        <family val="1"/>
      </rPr>
      <t xml:space="preserve">                                      </t>
    </r>
    <r>
      <rPr>
        <b/>
        <i/>
        <sz val="14"/>
        <color indexed="12"/>
        <rFont val="Times New Roman"/>
        <family val="1"/>
      </rPr>
      <t>(Should Equal Row 19)</t>
    </r>
  </si>
  <si>
    <t>ABC Chevrolet</t>
  </si>
  <si>
    <t>Dealership Daily Scorecard</t>
  </si>
  <si>
    <t>TUESDAY, OCTOBER 25, 2016</t>
  </si>
  <si>
    <t>Garry House &amp; Associates Co.</t>
  </si>
  <si>
    <t xml:space="preserve">   Dealership Resources Professionals</t>
  </si>
  <si>
    <t xml:space="preserve">   Management Advisory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</si>
</sst>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0.000"/>
    <numFmt numFmtId="167" formatCode="0.0000"/>
    <numFmt numFmtId="168" formatCode="[$-F800]dddd\,\ mmmm\ dd\,\ yyyy"/>
    <numFmt numFmtId="169" formatCode="#,##0.0"/>
    <numFmt numFmtId="170" formatCode="#,##0.0_);\(#,##0.0\)"/>
    <numFmt numFmtId="171" formatCode="&quot;$&quot;#,##0.00"/>
    <numFmt numFmtId="172" formatCode="&quot;$&quot;#,##0"/>
  </numFmts>
  <fonts count="59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  <font>
      <b/>
      <i/>
      <u/>
      <sz val="20"/>
      <name val="Times New Roman"/>
      <family val="1"/>
    </font>
    <font>
      <b/>
      <sz val="16"/>
      <name val="Times New Roman"/>
      <family val="1"/>
    </font>
    <font>
      <b/>
      <i/>
      <sz val="12"/>
      <name val="Antique Olive"/>
      <family val="2"/>
    </font>
    <font>
      <sz val="12"/>
      <name val="Wingdings"/>
      <family val="1"/>
    </font>
    <font>
      <sz val="20"/>
      <name val="Wingdings"/>
      <family val="1"/>
    </font>
    <font>
      <sz val="20"/>
      <name val="Wingdings 2"/>
      <family val="1"/>
    </font>
    <font>
      <b/>
      <sz val="16"/>
      <name val="Wingdings"/>
      <family val="1"/>
    </font>
    <font>
      <b/>
      <sz val="16"/>
      <name val="Times New Roman"/>
      <family val="1"/>
    </font>
    <font>
      <b/>
      <sz val="16"/>
      <color indexed="12"/>
      <name val="Times New Roman"/>
      <family val="1"/>
    </font>
    <font>
      <sz val="16"/>
      <name val="Times New Roman"/>
      <family val="1"/>
    </font>
    <font>
      <b/>
      <sz val="16"/>
      <color indexed="12"/>
      <name val="Times New Roman"/>
      <family val="1"/>
    </font>
    <font>
      <b/>
      <i/>
      <u/>
      <sz val="16"/>
      <name val="Times New Roman"/>
      <family val="1"/>
    </font>
    <font>
      <b/>
      <i/>
      <sz val="13"/>
      <name val="Antique Olive"/>
      <family val="2"/>
    </font>
    <font>
      <i/>
      <sz val="13"/>
      <name val="Antique Olive"/>
      <family val="2"/>
    </font>
    <font>
      <b/>
      <i/>
      <sz val="12"/>
      <color indexed="12"/>
      <name val="Antique Olive"/>
      <family val="2"/>
    </font>
    <font>
      <b/>
      <sz val="18"/>
      <color indexed="12"/>
      <name val="Times New Roman"/>
      <family val="1"/>
    </font>
    <font>
      <sz val="13"/>
      <color indexed="19"/>
      <name val="Times New Roman"/>
      <family val="1"/>
    </font>
    <font>
      <b/>
      <sz val="16"/>
      <color indexed="19"/>
      <name val="Times New Roman"/>
      <family val="1"/>
    </font>
    <font>
      <b/>
      <sz val="20"/>
      <name val="Wingdings"/>
      <charset val="2"/>
    </font>
    <font>
      <b/>
      <sz val="14"/>
      <name val="Times New Roman"/>
      <family val="1"/>
    </font>
    <font>
      <b/>
      <sz val="18"/>
      <color indexed="10"/>
      <name val="Times New Roman"/>
      <family val="1"/>
    </font>
    <font>
      <b/>
      <i/>
      <sz val="12"/>
      <color indexed="10"/>
      <name val="Antique Olive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22"/>
      <name val="Times New Roman"/>
      <family val="1"/>
    </font>
    <font>
      <b/>
      <sz val="26"/>
      <color indexed="10"/>
      <name val="Times New Roman"/>
      <family val="1"/>
    </font>
    <font>
      <b/>
      <sz val="26"/>
      <color indexed="12"/>
      <name val="Times New Roman"/>
      <family val="1"/>
    </font>
    <font>
      <b/>
      <sz val="16"/>
      <color indexed="10"/>
      <name val="Times New Roman"/>
      <family val="1"/>
    </font>
    <font>
      <b/>
      <i/>
      <sz val="16"/>
      <name val="Antique Olive"/>
      <family val="2"/>
    </font>
    <font>
      <b/>
      <i/>
      <sz val="14"/>
      <name val="Antique Olive"/>
      <family val="2"/>
    </font>
    <font>
      <i/>
      <sz val="13"/>
      <color indexed="22"/>
      <name val="Antique Olive"/>
      <family val="2"/>
    </font>
    <font>
      <b/>
      <sz val="24"/>
      <color indexed="10"/>
      <name val="Times New Roman"/>
      <family val="1"/>
    </font>
    <font>
      <sz val="18"/>
      <name val="Times New Roman"/>
      <family val="1"/>
    </font>
    <font>
      <b/>
      <i/>
      <u/>
      <sz val="28"/>
      <name val="Times New Roman"/>
      <family val="1"/>
    </font>
    <font>
      <b/>
      <i/>
      <sz val="22"/>
      <name val="Times New Roman"/>
      <family val="1"/>
    </font>
    <font>
      <b/>
      <sz val="18"/>
      <name val="Times New Roman"/>
      <family val="1"/>
    </font>
    <font>
      <b/>
      <sz val="14"/>
      <color indexed="12"/>
      <name val="Times New Roman"/>
      <family val="1"/>
    </font>
    <font>
      <b/>
      <sz val="22"/>
      <name val="Wingdings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4"/>
      <color indexed="19"/>
      <name val="Times New Roman"/>
      <family val="1"/>
    </font>
    <font>
      <b/>
      <sz val="20"/>
      <name val="Times New Roman"/>
      <family val="1"/>
    </font>
    <font>
      <b/>
      <i/>
      <sz val="16"/>
      <name val="Times New Roman"/>
      <family val="1"/>
    </font>
    <font>
      <b/>
      <sz val="14"/>
      <name val="Times New Roman"/>
      <family val="1"/>
    </font>
    <font>
      <b/>
      <sz val="16"/>
      <color indexed="10"/>
      <name val="Times New Roman"/>
      <family val="1"/>
    </font>
    <font>
      <b/>
      <sz val="18"/>
      <name val="Times New Roman"/>
      <family val="1"/>
    </font>
    <font>
      <b/>
      <i/>
      <sz val="14"/>
      <color indexed="12"/>
      <name val="Times New Roman"/>
      <family val="1"/>
    </font>
    <font>
      <sz val="28"/>
      <color rgb="FFFF0000"/>
      <name val="Arial Black"/>
      <family val="2"/>
    </font>
    <font>
      <sz val="22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4">
    <xf numFmtId="0" fontId="0" fillId="0" borderId="0" xfId="0"/>
    <xf numFmtId="9" fontId="21" fillId="0" borderId="1" xfId="2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5" xfId="0" applyFont="1" applyFill="1" applyBorder="1" applyAlignment="1" applyProtection="1">
      <alignment horizontal="center"/>
      <protection locked="0"/>
    </xf>
    <xf numFmtId="5" fontId="15" fillId="2" borderId="8" xfId="0" applyNumberFormat="1" applyFont="1" applyFill="1" applyBorder="1" applyAlignment="1" applyProtection="1">
      <alignment horizontal="center" vertical="center"/>
      <protection locked="0"/>
    </xf>
    <xf numFmtId="3" fontId="43" fillId="5" borderId="8" xfId="0" applyNumberFormat="1" applyFont="1" applyFill="1" applyBorder="1" applyAlignment="1" applyProtection="1">
      <alignment horizontal="center" vertical="center"/>
      <protection locked="0"/>
    </xf>
    <xf numFmtId="1" fontId="43" fillId="5" borderId="12" xfId="0" applyNumberFormat="1" applyFont="1" applyFill="1" applyBorder="1" applyAlignment="1" applyProtection="1">
      <alignment horizontal="center" vertical="center"/>
      <protection locked="0"/>
    </xf>
    <xf numFmtId="5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43" fillId="4" borderId="8" xfId="0" applyFont="1" applyFill="1" applyBorder="1" applyAlignment="1" applyProtection="1">
      <alignment horizontal="centerContinuous" vertical="center"/>
      <protection locked="0"/>
    </xf>
    <xf numFmtId="171" fontId="43" fillId="4" borderId="8" xfId="0" applyNumberFormat="1" applyFont="1" applyFill="1" applyBorder="1" applyAlignment="1" applyProtection="1">
      <alignment horizontal="center" vertical="center"/>
      <protection locked="0"/>
    </xf>
    <xf numFmtId="5" fontId="15" fillId="5" borderId="12" xfId="1" applyNumberFormat="1" applyFont="1" applyFill="1" applyBorder="1" applyAlignment="1" applyProtection="1">
      <alignment horizontal="center" vertical="center"/>
      <protection locked="0"/>
    </xf>
    <xf numFmtId="0" fontId="17" fillId="2" borderId="35" xfId="0" applyFont="1" applyFill="1" applyBorder="1" applyAlignment="1" applyProtection="1">
      <alignment horizontal="centerContinuous" vertical="center"/>
      <protection locked="0"/>
    </xf>
    <xf numFmtId="5" fontId="15" fillId="5" borderId="8" xfId="1" applyNumberFormat="1" applyFont="1" applyFill="1" applyBorder="1" applyAlignment="1" applyProtection="1">
      <alignment horizontal="center" vertical="center"/>
      <protection locked="0"/>
    </xf>
    <xf numFmtId="166" fontId="43" fillId="4" borderId="8" xfId="0" applyNumberFormat="1" applyFont="1" applyFill="1" applyBorder="1" applyAlignment="1" applyProtection="1">
      <alignment horizontal="center" vertical="center"/>
      <protection locked="0"/>
    </xf>
    <xf numFmtId="164" fontId="43" fillId="4" borderId="8" xfId="0" applyNumberFormat="1" applyFont="1" applyFill="1" applyBorder="1" applyAlignment="1" applyProtection="1">
      <alignment horizontal="centerContinuous" vertical="center"/>
      <protection locked="0"/>
    </xf>
    <xf numFmtId="165" fontId="43" fillId="4" borderId="8" xfId="2" applyNumberFormat="1" applyFont="1" applyFill="1" applyBorder="1" applyAlignment="1" applyProtection="1">
      <alignment horizontal="center" vertical="center"/>
      <protection locked="0"/>
    </xf>
    <xf numFmtId="5" fontId="15" fillId="4" borderId="12" xfId="1" applyNumberFormat="1" applyFont="1" applyFill="1" applyBorder="1" applyAlignment="1" applyProtection="1">
      <alignment horizontal="center" vertical="center"/>
      <protection locked="0"/>
    </xf>
    <xf numFmtId="1" fontId="43" fillId="4" borderId="8" xfId="0" applyNumberFormat="1" applyFont="1" applyFill="1" applyBorder="1" applyAlignment="1" applyProtection="1">
      <alignment horizontal="center" vertical="center"/>
      <protection locked="0"/>
    </xf>
    <xf numFmtId="5" fontId="15" fillId="4" borderId="8" xfId="1" applyNumberFormat="1" applyFont="1" applyFill="1" applyBorder="1" applyAlignment="1" applyProtection="1">
      <alignment horizontal="center" vertical="center"/>
      <protection locked="0"/>
    </xf>
    <xf numFmtId="5" fontId="15" fillId="2" borderId="8" xfId="1" applyNumberFormat="1" applyFont="1" applyFill="1" applyBorder="1" applyAlignment="1" applyProtection="1">
      <alignment horizontal="center" vertical="center"/>
      <protection locked="0"/>
    </xf>
    <xf numFmtId="5" fontId="15" fillId="2" borderId="12" xfId="1" applyNumberFormat="1" applyFont="1" applyFill="1" applyBorder="1" applyAlignment="1" applyProtection="1">
      <alignment horizontal="center" vertical="center"/>
      <protection locked="0"/>
    </xf>
    <xf numFmtId="164" fontId="43" fillId="4" borderId="35" xfId="0" applyNumberFormat="1" applyFont="1" applyFill="1" applyBorder="1" applyAlignment="1" applyProtection="1">
      <alignment horizontal="centerContinuous" vertical="center"/>
      <protection locked="0"/>
    </xf>
    <xf numFmtId="0" fontId="40" fillId="0" borderId="0" xfId="0" applyFont="1" applyAlignment="1" applyProtection="1">
      <alignment horizontal="centerContinuous"/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2" fillId="0" borderId="0" xfId="0" applyFont="1" applyProtection="1">
      <protection hidden="1"/>
    </xf>
    <xf numFmtId="0" fontId="41" fillId="0" borderId="0" xfId="0" applyFont="1" applyAlignment="1" applyProtection="1">
      <alignment horizontal="centerContinuous"/>
      <protection hidden="1"/>
    </xf>
    <xf numFmtId="0" fontId="39" fillId="0" borderId="0" xfId="0" applyFont="1" applyAlignment="1" applyProtection="1">
      <alignment horizontal="centerContinuous"/>
      <protection hidden="1"/>
    </xf>
    <xf numFmtId="0" fontId="39" fillId="0" borderId="0" xfId="0" applyFont="1" applyProtection="1"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0" fillId="0" borderId="0" xfId="0" applyProtection="1">
      <protection hidden="1"/>
    </xf>
    <xf numFmtId="0" fontId="5" fillId="0" borderId="0" xfId="0" quotePrefix="1" applyFont="1" applyAlignment="1" applyProtection="1">
      <alignment horizontal="right"/>
      <protection hidden="1"/>
    </xf>
    <xf numFmtId="0" fontId="27" fillId="0" borderId="0" xfId="0" applyFont="1" applyAlignment="1" applyProtection="1">
      <alignment horizontal="left" indent="1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167" fontId="3" fillId="0" borderId="0" xfId="0" applyNumberFormat="1" applyFont="1" applyAlignment="1" applyProtection="1">
      <alignment horizontal="center"/>
      <protection hidden="1"/>
    </xf>
    <xf numFmtId="0" fontId="3" fillId="0" borderId="4" xfId="0" quotePrefix="1" applyFont="1" applyBorder="1" applyAlignment="1" applyProtection="1">
      <alignment horizontal="left" vertical="center"/>
      <protection hidden="1"/>
    </xf>
    <xf numFmtId="0" fontId="30" fillId="3" borderId="5" xfId="0" applyFont="1" applyFill="1" applyBorder="1" applyAlignment="1" applyProtection="1">
      <alignment horizontal="center" vertical="center"/>
      <protection hidden="1"/>
    </xf>
    <xf numFmtId="165" fontId="3" fillId="3" borderId="5" xfId="2" applyNumberFormat="1" applyFont="1" applyFill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2" borderId="7" xfId="0" quotePrefix="1" applyFont="1" applyFill="1" applyBorder="1" applyAlignment="1" applyProtection="1">
      <alignment horizontal="left" vertical="center"/>
      <protection hidden="1"/>
    </xf>
    <xf numFmtId="5" fontId="34" fillId="2" borderId="1" xfId="0" applyNumberFormat="1" applyFont="1" applyFill="1" applyBorder="1" applyAlignment="1" applyProtection="1">
      <alignment horizontal="center" vertical="center"/>
      <protection hidden="1"/>
    </xf>
    <xf numFmtId="5" fontId="35" fillId="2" borderId="8" xfId="0" applyNumberFormat="1" applyFont="1" applyFill="1" applyBorder="1" applyAlignment="1" applyProtection="1">
      <alignment horizontal="center" vertical="center"/>
      <protection hidden="1"/>
    </xf>
    <xf numFmtId="165" fontId="19" fillId="2" borderId="8" xfId="2" applyNumberFormat="1" applyFont="1" applyFill="1" applyBorder="1" applyAlignment="1" applyProtection="1">
      <alignment horizontal="center" vertical="center"/>
      <protection hidden="1"/>
    </xf>
    <xf numFmtId="0" fontId="44" fillId="2" borderId="21" xfId="0" applyFont="1" applyFill="1" applyBorder="1" applyAlignment="1" applyProtection="1">
      <alignment horizontal="center" vertical="center"/>
      <protection hidden="1"/>
    </xf>
    <xf numFmtId="0" fontId="44" fillId="2" borderId="22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9" fillId="0" borderId="6" xfId="0" quotePrefix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9" fillId="0" borderId="7" xfId="0" quotePrefix="1" applyFont="1" applyBorder="1" applyAlignment="1" applyProtection="1">
      <alignment horizontal="center"/>
      <protection hidden="1"/>
    </xf>
    <xf numFmtId="0" fontId="19" fillId="0" borderId="2" xfId="0" applyFont="1" applyBorder="1" applyAlignment="1" applyProtection="1">
      <alignment horizontal="right" indent="1"/>
      <protection hidden="1"/>
    </xf>
    <xf numFmtId="0" fontId="35" fillId="4" borderId="7" xfId="0" applyFont="1" applyFill="1" applyBorder="1" applyAlignment="1" applyProtection="1">
      <alignment horizontal="center" vertical="center"/>
      <protection hidden="1"/>
    </xf>
    <xf numFmtId="0" fontId="36" fillId="4" borderId="1" xfId="0" applyFont="1" applyFill="1" applyBorder="1" applyAlignment="1" applyProtection="1">
      <alignment horizontal="center" vertical="center"/>
      <protection hidden="1"/>
    </xf>
    <xf numFmtId="0" fontId="36" fillId="4" borderId="5" xfId="0" applyFont="1" applyFill="1" applyBorder="1" applyAlignment="1" applyProtection="1">
      <alignment horizontal="center" vertical="center"/>
      <protection hidden="1"/>
    </xf>
    <xf numFmtId="165" fontId="19" fillId="4" borderId="5" xfId="2" applyNumberFormat="1" applyFont="1" applyFill="1" applyBorder="1" applyAlignment="1" applyProtection="1">
      <alignment horizontal="center" vertical="center"/>
      <protection hidden="1"/>
    </xf>
    <xf numFmtId="0" fontId="44" fillId="4" borderId="1" xfId="0" applyFont="1" applyFill="1" applyBorder="1" applyAlignment="1" applyProtection="1">
      <alignment horizontal="center" vertical="center"/>
      <protection hidden="1"/>
    </xf>
    <xf numFmtId="0" fontId="44" fillId="4" borderId="21" xfId="0" applyFont="1" applyFill="1" applyBorder="1" applyAlignment="1" applyProtection="1">
      <alignment horizontal="center" vertical="center"/>
      <protection hidden="1"/>
    </xf>
    <xf numFmtId="0" fontId="44" fillId="4" borderId="22" xfId="0" applyFont="1" applyFill="1" applyBorder="1" applyAlignment="1" applyProtection="1">
      <alignment horizontal="center" vertical="center"/>
      <protection hidden="1"/>
    </xf>
    <xf numFmtId="0" fontId="14" fillId="5" borderId="9" xfId="0" quotePrefix="1" applyFont="1" applyFill="1" applyBorder="1" applyAlignment="1" applyProtection="1">
      <alignment horizontal="left" vertical="center"/>
      <protection hidden="1"/>
    </xf>
    <xf numFmtId="5" fontId="14" fillId="5" borderId="10" xfId="0" applyNumberFormat="1" applyFont="1" applyFill="1" applyBorder="1" applyAlignment="1" applyProtection="1">
      <alignment horizontal="center" vertical="center"/>
      <protection hidden="1"/>
    </xf>
    <xf numFmtId="165" fontId="14" fillId="5" borderId="11" xfId="2" applyNumberFormat="1" applyFont="1" applyFill="1" applyBorder="1" applyAlignment="1" applyProtection="1">
      <alignment horizontal="centerContinuous" vertical="center"/>
      <protection hidden="1"/>
    </xf>
    <xf numFmtId="0" fontId="44" fillId="5" borderId="0" xfId="0" applyFont="1" applyFill="1" applyBorder="1" applyAlignment="1" applyProtection="1">
      <alignment horizontal="center" vertical="center"/>
      <protection hidden="1"/>
    </xf>
    <xf numFmtId="0" fontId="44" fillId="5" borderId="23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5" fillId="5" borderId="17" xfId="0" quotePrefix="1" applyFont="1" applyFill="1" applyBorder="1" applyAlignment="1" applyProtection="1">
      <alignment horizontal="left" vertical="center"/>
      <protection hidden="1"/>
    </xf>
    <xf numFmtId="3" fontId="26" fillId="5" borderId="1" xfId="2" applyNumberFormat="1" applyFont="1" applyFill="1" applyBorder="1" applyAlignment="1" applyProtection="1">
      <alignment horizontal="center" vertical="center"/>
      <protection hidden="1"/>
    </xf>
    <xf numFmtId="37" fontId="9" fillId="5" borderId="8" xfId="0" applyNumberFormat="1" applyFont="1" applyFill="1" applyBorder="1" applyAlignment="1" applyProtection="1">
      <alignment horizontal="center"/>
      <protection hidden="1"/>
    </xf>
    <xf numFmtId="165" fontId="19" fillId="5" borderId="8" xfId="2" applyNumberFormat="1" applyFont="1" applyFill="1" applyBorder="1" applyAlignment="1" applyProtection="1">
      <alignment horizontal="center" vertical="center"/>
      <protection hidden="1"/>
    </xf>
    <xf numFmtId="0" fontId="44" fillId="5" borderId="21" xfId="0" applyFont="1" applyFill="1" applyBorder="1" applyAlignment="1" applyProtection="1">
      <alignment horizontal="center"/>
      <protection hidden="1"/>
    </xf>
    <xf numFmtId="0" fontId="44" fillId="5" borderId="22" xfId="0" applyFont="1" applyFill="1" applyBorder="1" applyAlignment="1" applyProtection="1">
      <alignment horizontal="center"/>
      <protection hidden="1"/>
    </xf>
    <xf numFmtId="0" fontId="5" fillId="5" borderId="17" xfId="0" applyFont="1" applyFill="1" applyBorder="1" applyAlignment="1" applyProtection="1">
      <alignment horizontal="center" vertical="center"/>
      <protection hidden="1"/>
    </xf>
    <xf numFmtId="169" fontId="26" fillId="5" borderId="1" xfId="2" applyNumberFormat="1" applyFont="1" applyFill="1" applyBorder="1" applyAlignment="1" applyProtection="1">
      <alignment horizontal="right" vertical="center"/>
      <protection hidden="1"/>
    </xf>
    <xf numFmtId="170" fontId="9" fillId="5" borderId="8" xfId="0" applyNumberFormat="1" applyFont="1" applyFill="1" applyBorder="1" applyAlignment="1" applyProtection="1">
      <alignment horizontal="right"/>
      <protection hidden="1"/>
    </xf>
    <xf numFmtId="0" fontId="3" fillId="5" borderId="2" xfId="0" quotePrefix="1" applyFont="1" applyFill="1" applyBorder="1" applyAlignment="1" applyProtection="1">
      <alignment horizontal="left" vertical="center"/>
      <protection hidden="1"/>
    </xf>
    <xf numFmtId="1" fontId="26" fillId="5" borderId="18" xfId="0" applyNumberFormat="1" applyFont="1" applyFill="1" applyBorder="1" applyAlignment="1" applyProtection="1">
      <alignment horizontal="center" vertical="center"/>
      <protection hidden="1"/>
    </xf>
    <xf numFmtId="170" fontId="9" fillId="5" borderId="12" xfId="0" applyNumberFormat="1" applyFont="1" applyFill="1" applyBorder="1" applyAlignment="1" applyProtection="1">
      <alignment horizontal="right"/>
      <protection hidden="1"/>
    </xf>
    <xf numFmtId="165" fontId="19" fillId="5" borderId="12" xfId="2" applyNumberFormat="1" applyFont="1" applyFill="1" applyBorder="1" applyAlignment="1" applyProtection="1">
      <alignment horizontal="center" vertical="center"/>
      <protection hidden="1"/>
    </xf>
    <xf numFmtId="0" fontId="44" fillId="5" borderId="0" xfId="0" applyFont="1" applyFill="1" applyBorder="1" applyAlignment="1" applyProtection="1">
      <alignment horizontal="center"/>
      <protection hidden="1"/>
    </xf>
    <xf numFmtId="0" fontId="44" fillId="5" borderId="23" xfId="0" applyFont="1" applyFill="1" applyBorder="1" applyAlignment="1" applyProtection="1">
      <alignment horizontal="center"/>
      <protection hidden="1"/>
    </xf>
    <xf numFmtId="0" fontId="3" fillId="5" borderId="13" xfId="0" quotePrefix="1" applyFont="1" applyFill="1" applyBorder="1" applyAlignment="1" applyProtection="1">
      <alignment horizontal="left"/>
      <protection hidden="1"/>
    </xf>
    <xf numFmtId="1" fontId="43" fillId="5" borderId="19" xfId="0" applyNumberFormat="1" applyFont="1" applyFill="1" applyBorder="1" applyAlignment="1" applyProtection="1">
      <alignment horizontal="center"/>
      <protection hidden="1"/>
    </xf>
    <xf numFmtId="1" fontId="43" fillId="5" borderId="20" xfId="0" applyNumberFormat="1" applyFont="1" applyFill="1" applyBorder="1" applyAlignment="1" applyProtection="1">
      <alignment horizontal="center"/>
      <protection hidden="1"/>
    </xf>
    <xf numFmtId="1" fontId="6" fillId="5" borderId="14" xfId="0" applyNumberFormat="1" applyFont="1" applyFill="1" applyBorder="1" applyAlignment="1" applyProtection="1">
      <alignment horizontal="center"/>
      <protection hidden="1"/>
    </xf>
    <xf numFmtId="165" fontId="3" fillId="5" borderId="14" xfId="2" applyNumberFormat="1" applyFont="1" applyFill="1" applyBorder="1" applyAlignment="1" applyProtection="1">
      <alignment horizontal="centerContinuous"/>
      <protection hidden="1"/>
    </xf>
    <xf numFmtId="0" fontId="2" fillId="5" borderId="15" xfId="0" applyFont="1" applyFill="1" applyBorder="1" applyProtection="1">
      <protection hidden="1"/>
    </xf>
    <xf numFmtId="0" fontId="2" fillId="5" borderId="16" xfId="0" applyFont="1" applyFill="1" applyBorder="1" applyProtection="1">
      <protection hidden="1"/>
    </xf>
    <xf numFmtId="0" fontId="45" fillId="6" borderId="2" xfId="0" quotePrefix="1" applyFont="1" applyFill="1" applyBorder="1" applyAlignment="1" applyProtection="1">
      <alignment horizontal="left"/>
      <protection hidden="1"/>
    </xf>
    <xf numFmtId="1" fontId="45" fillId="6" borderId="18" xfId="0" applyNumberFormat="1" applyFont="1" applyFill="1" applyBorder="1" applyAlignment="1" applyProtection="1">
      <alignment horizontal="center"/>
      <protection hidden="1"/>
    </xf>
    <xf numFmtId="1" fontId="45" fillId="6" borderId="12" xfId="0" applyNumberFormat="1" applyFont="1" applyFill="1" applyBorder="1" applyAlignment="1" applyProtection="1">
      <alignment horizontal="center"/>
      <protection hidden="1"/>
    </xf>
    <xf numFmtId="1" fontId="45" fillId="6" borderId="24" xfId="0" applyNumberFormat="1" applyFont="1" applyFill="1" applyBorder="1" applyAlignment="1" applyProtection="1">
      <alignment horizontal="center"/>
      <protection hidden="1"/>
    </xf>
    <xf numFmtId="165" fontId="45" fillId="6" borderId="24" xfId="2" applyNumberFormat="1" applyFont="1" applyFill="1" applyBorder="1" applyAlignment="1" applyProtection="1">
      <alignment horizontal="centerContinuous"/>
      <protection hidden="1"/>
    </xf>
    <xf numFmtId="0" fontId="46" fillId="6" borderId="0" xfId="0" applyFont="1" applyFill="1" applyBorder="1" applyProtection="1">
      <protection hidden="1"/>
    </xf>
    <xf numFmtId="0" fontId="46" fillId="6" borderId="23" xfId="0" applyFont="1" applyFill="1" applyBorder="1" applyProtection="1">
      <protection hidden="1"/>
    </xf>
    <xf numFmtId="0" fontId="45" fillId="6" borderId="25" xfId="0" quotePrefix="1" applyFont="1" applyFill="1" applyBorder="1" applyAlignment="1" applyProtection="1">
      <alignment horizontal="left"/>
      <protection hidden="1"/>
    </xf>
    <xf numFmtId="1" fontId="45" fillId="6" borderId="26" xfId="0" applyNumberFormat="1" applyFont="1" applyFill="1" applyBorder="1" applyAlignment="1" applyProtection="1">
      <alignment horizontal="center"/>
      <protection hidden="1"/>
    </xf>
    <xf numFmtId="1" fontId="45" fillId="6" borderId="27" xfId="0" applyNumberFormat="1" applyFont="1" applyFill="1" applyBorder="1" applyAlignment="1" applyProtection="1">
      <alignment horizontal="center"/>
      <protection hidden="1"/>
    </xf>
    <xf numFmtId="1" fontId="45" fillId="6" borderId="28" xfId="0" applyNumberFormat="1" applyFont="1" applyFill="1" applyBorder="1" applyAlignment="1" applyProtection="1">
      <alignment horizontal="center"/>
      <protection hidden="1"/>
    </xf>
    <xf numFmtId="165" fontId="45" fillId="6" borderId="28" xfId="2" applyNumberFormat="1" applyFont="1" applyFill="1" applyBorder="1" applyAlignment="1" applyProtection="1">
      <alignment horizontal="centerContinuous"/>
      <protection hidden="1"/>
    </xf>
    <xf numFmtId="0" fontId="46" fillId="6" borderId="29" xfId="0" applyFont="1" applyFill="1" applyBorder="1" applyProtection="1">
      <protection hidden="1"/>
    </xf>
    <xf numFmtId="0" fontId="46" fillId="6" borderId="30" xfId="0" applyFont="1" applyFill="1" applyBorder="1" applyProtection="1">
      <protection hidden="1"/>
    </xf>
    <xf numFmtId="0" fontId="18" fillId="0" borderId="2" xfId="0" quotePrefix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2" borderId="17" xfId="0" quotePrefix="1" applyFont="1" applyFill="1" applyBorder="1" applyAlignment="1" applyProtection="1">
      <alignment horizontal="left" vertical="center"/>
      <protection hidden="1"/>
    </xf>
    <xf numFmtId="5" fontId="47" fillId="2" borderId="1" xfId="0" applyNumberFormat="1" applyFont="1" applyFill="1" applyBorder="1" applyAlignment="1" applyProtection="1">
      <alignment horizontal="center" vertical="center"/>
      <protection hidden="1"/>
    </xf>
    <xf numFmtId="0" fontId="8" fillId="5" borderId="17" xfId="0" quotePrefix="1" applyFont="1" applyFill="1" applyBorder="1" applyAlignment="1" applyProtection="1">
      <alignment horizontal="left" vertical="center"/>
      <protection hidden="1"/>
    </xf>
    <xf numFmtId="5" fontId="8" fillId="5" borderId="1" xfId="0" applyNumberFormat="1" applyFont="1" applyFill="1" applyBorder="1" applyAlignment="1" applyProtection="1">
      <alignment horizontal="center" vertical="center"/>
      <protection hidden="1"/>
    </xf>
    <xf numFmtId="5" fontId="14" fillId="5" borderId="1" xfId="0" applyNumberFormat="1" applyFont="1" applyFill="1" applyBorder="1" applyAlignment="1" applyProtection="1">
      <alignment horizontal="center" vertical="center"/>
      <protection hidden="1"/>
    </xf>
    <xf numFmtId="165" fontId="14" fillId="5" borderId="8" xfId="2" applyNumberFormat="1" applyFont="1" applyFill="1" applyBorder="1" applyAlignment="1" applyProtection="1">
      <alignment horizontal="centerContinuous" vertical="center"/>
      <protection hidden="1"/>
    </xf>
    <xf numFmtId="0" fontId="44" fillId="5" borderId="21" xfId="0" applyFont="1" applyFill="1" applyBorder="1" applyAlignment="1" applyProtection="1">
      <alignment horizontal="center" vertical="center"/>
      <protection hidden="1"/>
    </xf>
    <xf numFmtId="0" fontId="44" fillId="5" borderId="22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44" fillId="2" borderId="21" xfId="0" applyFont="1" applyFill="1" applyBorder="1" applyAlignment="1" applyProtection="1">
      <alignment horizontal="center"/>
      <protection hidden="1"/>
    </xf>
    <xf numFmtId="0" fontId="44" fillId="2" borderId="22" xfId="0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5" fontId="8" fillId="2" borderId="10" xfId="0" applyNumberFormat="1" applyFont="1" applyFill="1" applyBorder="1" applyAlignment="1" applyProtection="1">
      <alignment horizontal="center" vertical="center"/>
      <protection hidden="1"/>
    </xf>
    <xf numFmtId="5" fontId="35" fillId="2" borderId="11" xfId="0" applyNumberFormat="1" applyFont="1" applyFill="1" applyBorder="1" applyAlignment="1" applyProtection="1">
      <alignment horizontal="center" vertical="center"/>
      <protection hidden="1"/>
    </xf>
    <xf numFmtId="165" fontId="19" fillId="2" borderId="11" xfId="2" applyNumberFormat="1" applyFont="1" applyFill="1" applyBorder="1" applyAlignment="1" applyProtection="1">
      <alignment horizontal="center" vertical="center"/>
      <protection hidden="1"/>
    </xf>
    <xf numFmtId="0" fontId="44" fillId="2" borderId="31" xfId="0" applyFont="1" applyFill="1" applyBorder="1" applyAlignment="1" applyProtection="1">
      <alignment horizontal="center" vertical="center"/>
      <protection hidden="1"/>
    </xf>
    <xf numFmtId="0" fontId="44" fillId="2" borderId="32" xfId="0" applyFont="1" applyFill="1" applyBorder="1" applyAlignment="1" applyProtection="1">
      <alignment horizontal="center" vertical="center"/>
      <protection hidden="1"/>
    </xf>
    <xf numFmtId="0" fontId="48" fillId="4" borderId="25" xfId="0" quotePrefix="1" applyFont="1" applyFill="1" applyBorder="1" applyAlignment="1" applyProtection="1">
      <alignment horizontal="center" vertical="center"/>
      <protection hidden="1"/>
    </xf>
    <xf numFmtId="5" fontId="8" fillId="4" borderId="26" xfId="0" applyNumberFormat="1" applyFont="1" applyFill="1" applyBorder="1" applyAlignment="1" applyProtection="1">
      <alignment horizontal="center" vertical="center"/>
      <protection hidden="1"/>
    </xf>
    <xf numFmtId="5" fontId="8" fillId="4" borderId="27" xfId="0" applyNumberFormat="1" applyFont="1" applyFill="1" applyBorder="1" applyAlignment="1" applyProtection="1">
      <alignment horizontal="center" vertical="center"/>
      <protection hidden="1"/>
    </xf>
    <xf numFmtId="165" fontId="14" fillId="4" borderId="27" xfId="2" applyNumberFormat="1" applyFont="1" applyFill="1" applyBorder="1" applyAlignment="1" applyProtection="1">
      <alignment horizontal="centerContinuous" vertical="center"/>
      <protection hidden="1"/>
    </xf>
    <xf numFmtId="0" fontId="44" fillId="4" borderId="29" xfId="0" applyFont="1" applyFill="1" applyBorder="1" applyAlignment="1" applyProtection="1">
      <alignment horizontal="center" vertical="center"/>
      <protection hidden="1"/>
    </xf>
    <xf numFmtId="0" fontId="44" fillId="4" borderId="30" xfId="0" applyFont="1" applyFill="1" applyBorder="1" applyAlignment="1" applyProtection="1">
      <alignment horizontal="center" vertical="center"/>
      <protection hidden="1"/>
    </xf>
    <xf numFmtId="0" fontId="8" fillId="4" borderId="33" xfId="0" applyFont="1" applyFill="1" applyBorder="1" applyAlignment="1" applyProtection="1">
      <alignment horizontal="center" vertical="center"/>
      <protection hidden="1"/>
    </xf>
    <xf numFmtId="5" fontId="8" fillId="4" borderId="34" xfId="0" applyNumberFormat="1" applyFont="1" applyFill="1" applyBorder="1" applyAlignment="1" applyProtection="1">
      <alignment horizontal="center" vertical="center"/>
      <protection hidden="1"/>
    </xf>
    <xf numFmtId="165" fontId="14" fillId="4" borderId="35" xfId="2" applyNumberFormat="1" applyFont="1" applyFill="1" applyBorder="1" applyAlignment="1" applyProtection="1">
      <alignment horizontal="centerContinuous" vertical="center"/>
      <protection hidden="1"/>
    </xf>
    <xf numFmtId="0" fontId="44" fillId="4" borderId="36" xfId="0" applyFont="1" applyFill="1" applyBorder="1" applyAlignment="1" applyProtection="1">
      <alignment horizontal="center" vertical="center"/>
      <protection hidden="1"/>
    </xf>
    <xf numFmtId="0" fontId="44" fillId="4" borderId="37" xfId="0" applyFont="1" applyFill="1" applyBorder="1" applyAlignment="1" applyProtection="1">
      <alignment horizontal="center" vertical="center"/>
      <protection hidden="1"/>
    </xf>
    <xf numFmtId="0" fontId="49" fillId="0" borderId="0" xfId="0" quotePrefix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39" xfId="0" quotePrefix="1" applyFont="1" applyBorder="1" applyAlignment="1" applyProtection="1">
      <alignment horizontal="center" vertical="center"/>
      <protection hidden="1"/>
    </xf>
    <xf numFmtId="0" fontId="3" fillId="0" borderId="2" xfId="0" quotePrefix="1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4" borderId="17" xfId="0" quotePrefix="1" applyFont="1" applyFill="1" applyBorder="1" applyAlignment="1" applyProtection="1">
      <alignment horizontal="left" vertical="center"/>
      <protection hidden="1"/>
    </xf>
    <xf numFmtId="1" fontId="50" fillId="4" borderId="1" xfId="0" applyNumberFormat="1" applyFont="1" applyFill="1" applyBorder="1" applyAlignment="1" applyProtection="1">
      <alignment horizontal="center" vertical="center"/>
      <protection hidden="1"/>
    </xf>
    <xf numFmtId="0" fontId="36" fillId="4" borderId="8" xfId="0" applyFont="1" applyFill="1" applyBorder="1" applyAlignment="1" applyProtection="1">
      <alignment horizontal="center" vertical="center"/>
      <protection hidden="1"/>
    </xf>
    <xf numFmtId="165" fontId="14" fillId="4" borderId="8" xfId="2" applyNumberFormat="1" applyFont="1" applyFill="1" applyBorder="1" applyAlignment="1" applyProtection="1">
      <alignment horizontal="centerContinuous" vertical="center"/>
      <protection hidden="1"/>
    </xf>
    <xf numFmtId="2" fontId="50" fillId="4" borderId="1" xfId="0" applyNumberFormat="1" applyFont="1" applyFill="1" applyBorder="1" applyAlignment="1" applyProtection="1">
      <alignment horizontal="center" vertical="center"/>
      <protection hidden="1"/>
    </xf>
    <xf numFmtId="2" fontId="36" fillId="4" borderId="8" xfId="0" applyNumberFormat="1" applyFont="1" applyFill="1" applyBorder="1" applyAlignment="1" applyProtection="1">
      <alignment horizontal="center" vertical="center"/>
      <protection hidden="1"/>
    </xf>
    <xf numFmtId="171" fontId="50" fillId="4" borderId="1" xfId="0" applyNumberFormat="1" applyFont="1" applyFill="1" applyBorder="1" applyAlignment="1" applyProtection="1">
      <alignment horizontal="center" vertical="center"/>
      <protection hidden="1"/>
    </xf>
    <xf numFmtId="171" fontId="36" fillId="4" borderId="8" xfId="0" applyNumberFormat="1" applyFont="1" applyFill="1" applyBorder="1" applyAlignment="1" applyProtection="1">
      <alignment horizontal="center" vertical="center"/>
      <protection hidden="1"/>
    </xf>
    <xf numFmtId="0" fontId="14" fillId="5" borderId="17" xfId="0" quotePrefix="1" applyFont="1" applyFill="1" applyBorder="1" applyAlignment="1" applyProtection="1">
      <alignment horizontal="left" vertical="center"/>
      <protection hidden="1"/>
    </xf>
    <xf numFmtId="5" fontId="8" fillId="5" borderId="8" xfId="1" applyNumberFormat="1" applyFont="1" applyFill="1" applyBorder="1" applyAlignment="1" applyProtection="1">
      <alignment horizontal="center" vertical="center"/>
      <protection hidden="1"/>
    </xf>
    <xf numFmtId="172" fontId="14" fillId="5" borderId="0" xfId="0" quotePrefix="1" applyNumberFormat="1" applyFont="1" applyFill="1" applyBorder="1" applyAlignment="1" applyProtection="1">
      <alignment horizontal="center" vertical="center"/>
      <protection hidden="1"/>
    </xf>
    <xf numFmtId="166" fontId="50" fillId="4" borderId="1" xfId="0" applyNumberFormat="1" applyFont="1" applyFill="1" applyBorder="1" applyAlignment="1" applyProtection="1">
      <alignment horizontal="center" vertical="center"/>
      <protection hidden="1"/>
    </xf>
    <xf numFmtId="166" fontId="36" fillId="4" borderId="8" xfId="0" applyNumberFormat="1" applyFont="1" applyFill="1" applyBorder="1" applyAlignment="1" applyProtection="1">
      <alignment horizontal="center" vertical="center"/>
      <protection hidden="1"/>
    </xf>
    <xf numFmtId="164" fontId="50" fillId="4" borderId="1" xfId="0" applyNumberFormat="1" applyFont="1" applyFill="1" applyBorder="1" applyAlignment="1" applyProtection="1">
      <alignment horizontal="center" vertical="center"/>
      <protection hidden="1"/>
    </xf>
    <xf numFmtId="164" fontId="36" fillId="4" borderId="8" xfId="0" applyNumberFormat="1" applyFont="1" applyFill="1" applyBorder="1" applyAlignment="1" applyProtection="1">
      <alignment horizontal="center" vertical="center"/>
      <protection hidden="1"/>
    </xf>
    <xf numFmtId="165" fontId="50" fillId="4" borderId="1" xfId="2" applyNumberFormat="1" applyFont="1" applyFill="1" applyBorder="1" applyAlignment="1" applyProtection="1">
      <alignment horizontal="center" vertical="center"/>
      <protection hidden="1"/>
    </xf>
    <xf numFmtId="165" fontId="36" fillId="4" borderId="8" xfId="2" applyNumberFormat="1" applyFont="1" applyFill="1" applyBorder="1" applyAlignment="1" applyProtection="1">
      <alignment horizontal="center" vertical="center"/>
      <protection hidden="1"/>
    </xf>
    <xf numFmtId="0" fontId="14" fillId="5" borderId="2" xfId="0" quotePrefix="1" applyFont="1" applyFill="1" applyBorder="1" applyAlignment="1" applyProtection="1">
      <alignment horizontal="left" vertical="center"/>
      <protection hidden="1"/>
    </xf>
    <xf numFmtId="5" fontId="24" fillId="5" borderId="12" xfId="1" applyNumberFormat="1" applyFont="1" applyFill="1" applyBorder="1" applyAlignment="1" applyProtection="1">
      <alignment horizontal="center" vertical="center"/>
      <protection hidden="1"/>
    </xf>
    <xf numFmtId="172" fontId="36" fillId="5" borderId="11" xfId="0" applyNumberFormat="1" applyFont="1" applyFill="1" applyBorder="1" applyAlignment="1" applyProtection="1">
      <alignment horizontal="center" vertical="center"/>
      <protection hidden="1"/>
    </xf>
    <xf numFmtId="0" fontId="44" fillId="5" borderId="31" xfId="0" applyFont="1" applyFill="1" applyBorder="1" applyAlignment="1" applyProtection="1">
      <alignment horizontal="center" vertical="center"/>
      <protection hidden="1"/>
    </xf>
    <xf numFmtId="0" fontId="44" fillId="5" borderId="32" xfId="0" applyFont="1" applyFill="1" applyBorder="1" applyAlignment="1" applyProtection="1">
      <alignment horizontal="center" vertical="center"/>
      <protection hidden="1"/>
    </xf>
    <xf numFmtId="0" fontId="3" fillId="2" borderId="33" xfId="0" quotePrefix="1" applyFont="1" applyFill="1" applyBorder="1" applyAlignment="1" applyProtection="1">
      <alignment horizontal="left" vertical="center"/>
      <protection hidden="1"/>
    </xf>
    <xf numFmtId="1" fontId="24" fillId="2" borderId="34" xfId="0" applyNumberFormat="1" applyFont="1" applyFill="1" applyBorder="1" applyAlignment="1" applyProtection="1">
      <alignment horizontal="center" vertical="center"/>
      <protection hidden="1"/>
    </xf>
    <xf numFmtId="0" fontId="8" fillId="2" borderId="36" xfId="0" quotePrefix="1" applyFont="1" applyFill="1" applyBorder="1" applyAlignment="1" applyProtection="1">
      <alignment horizontal="center" vertical="center"/>
      <protection hidden="1"/>
    </xf>
    <xf numFmtId="165" fontId="8" fillId="2" borderId="35" xfId="2" applyNumberFormat="1" applyFont="1" applyFill="1" applyBorder="1" applyAlignment="1" applyProtection="1">
      <alignment horizontal="center" vertical="center"/>
      <protection hidden="1"/>
    </xf>
    <xf numFmtId="0" fontId="44" fillId="2" borderId="36" xfId="0" applyFont="1" applyFill="1" applyBorder="1" applyAlignment="1" applyProtection="1">
      <alignment horizontal="center"/>
      <protection hidden="1"/>
    </xf>
    <xf numFmtId="0" fontId="44" fillId="2" borderId="37" xfId="0" applyFont="1" applyFill="1" applyBorder="1" applyAlignment="1" applyProtection="1">
      <alignment horizontal="center"/>
      <protection hidden="1"/>
    </xf>
    <xf numFmtId="0" fontId="49" fillId="6" borderId="40" xfId="0" quotePrefix="1" applyFont="1" applyFill="1" applyBorder="1" applyAlignment="1" applyProtection="1">
      <alignment horizontal="center" vertical="center"/>
      <protection hidden="1"/>
    </xf>
    <xf numFmtId="0" fontId="49" fillId="6" borderId="41" xfId="0" quotePrefix="1" applyFont="1" applyFill="1" applyBorder="1" applyAlignment="1" applyProtection="1">
      <alignment horizontal="center" vertical="center"/>
      <protection hidden="1"/>
    </xf>
    <xf numFmtId="0" fontId="49" fillId="6" borderId="42" xfId="0" quotePrefix="1" applyFont="1" applyFill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1" fontId="26" fillId="4" borderId="1" xfId="0" applyNumberFormat="1" applyFont="1" applyFill="1" applyBorder="1" applyAlignment="1" applyProtection="1">
      <alignment horizontal="center" vertical="center"/>
      <protection hidden="1"/>
    </xf>
    <xf numFmtId="0" fontId="5" fillId="4" borderId="17" xfId="0" quotePrefix="1" applyFont="1" applyFill="1" applyBorder="1" applyAlignment="1" applyProtection="1">
      <alignment horizontal="center" vertical="center"/>
      <protection hidden="1"/>
    </xf>
    <xf numFmtId="165" fontId="26" fillId="4" borderId="8" xfId="2" applyNumberFormat="1" applyFont="1" applyFill="1" applyBorder="1" applyAlignment="1" applyProtection="1">
      <alignment horizontal="center" vertical="center"/>
      <protection hidden="1"/>
    </xf>
    <xf numFmtId="5" fontId="24" fillId="4" borderId="12" xfId="1" applyNumberFormat="1" applyFont="1" applyFill="1" applyBorder="1" applyAlignment="1" applyProtection="1">
      <alignment horizontal="center" vertical="center"/>
      <protection hidden="1"/>
    </xf>
    <xf numFmtId="172" fontId="36" fillId="4" borderId="11" xfId="0" applyNumberFormat="1" applyFont="1" applyFill="1" applyBorder="1" applyAlignment="1" applyProtection="1">
      <alignment horizontal="center" vertical="center"/>
      <protection hidden="1"/>
    </xf>
    <xf numFmtId="165" fontId="14" fillId="4" borderId="11" xfId="2" applyNumberFormat="1" applyFont="1" applyFill="1" applyBorder="1" applyAlignment="1" applyProtection="1">
      <alignment horizontal="centerContinuous" vertical="center"/>
      <protection hidden="1"/>
    </xf>
    <xf numFmtId="0" fontId="44" fillId="4" borderId="31" xfId="0" applyFont="1" applyFill="1" applyBorder="1" applyAlignment="1" applyProtection="1">
      <alignment horizontal="center" vertical="center"/>
      <protection hidden="1"/>
    </xf>
    <xf numFmtId="0" fontId="44" fillId="4" borderId="32" xfId="0" applyFont="1" applyFill="1" applyBorder="1" applyAlignment="1" applyProtection="1">
      <alignment horizontal="center" vertical="center"/>
      <protection hidden="1"/>
    </xf>
    <xf numFmtId="5" fontId="24" fillId="5" borderId="8" xfId="1" applyNumberFormat="1" applyFont="1" applyFill="1" applyBorder="1" applyAlignment="1" applyProtection="1">
      <alignment horizontal="center" vertical="center"/>
      <protection hidden="1"/>
    </xf>
    <xf numFmtId="172" fontId="36" fillId="5" borderId="8" xfId="0" applyNumberFormat="1" applyFont="1" applyFill="1" applyBorder="1" applyAlignment="1" applyProtection="1">
      <alignment horizontal="center" vertical="center"/>
      <protection hidden="1"/>
    </xf>
    <xf numFmtId="172" fontId="36" fillId="5" borderId="12" xfId="0" applyNumberFormat="1" applyFont="1" applyFill="1" applyBorder="1" applyAlignment="1" applyProtection="1">
      <alignment horizontal="center" vertical="center"/>
      <protection hidden="1"/>
    </xf>
    <xf numFmtId="5" fontId="24" fillId="2" borderId="8" xfId="1" applyNumberFormat="1" applyFont="1" applyFill="1" applyBorder="1" applyAlignment="1" applyProtection="1">
      <alignment horizontal="center" vertical="center"/>
      <protection hidden="1"/>
    </xf>
    <xf numFmtId="172" fontId="36" fillId="2" borderId="8" xfId="0" applyNumberFormat="1" applyFont="1" applyFill="1" applyBorder="1" applyAlignment="1" applyProtection="1">
      <alignment horizontal="center" vertical="center"/>
      <protection hidden="1"/>
    </xf>
    <xf numFmtId="165" fontId="14" fillId="2" borderId="11" xfId="2" applyNumberFormat="1" applyFont="1" applyFill="1" applyBorder="1" applyAlignment="1" applyProtection="1">
      <alignment horizontal="centerContinuous" vertical="center"/>
      <protection hidden="1"/>
    </xf>
    <xf numFmtId="5" fontId="24" fillId="2" borderId="12" xfId="1" applyNumberFormat="1" applyFont="1" applyFill="1" applyBorder="1" applyAlignment="1" applyProtection="1">
      <alignment horizontal="center" vertical="center"/>
      <protection hidden="1"/>
    </xf>
    <xf numFmtId="172" fontId="36" fillId="2" borderId="12" xfId="0" applyNumberFormat="1" applyFont="1" applyFill="1" applyBorder="1" applyAlignment="1" applyProtection="1">
      <alignment horizontal="center" vertical="center"/>
      <protection hidden="1"/>
    </xf>
    <xf numFmtId="0" fontId="14" fillId="5" borderId="17" xfId="0" applyFont="1" applyFill="1" applyBorder="1" applyAlignment="1" applyProtection="1">
      <alignment horizontal="center" vertical="center"/>
      <protection hidden="1"/>
    </xf>
    <xf numFmtId="10" fontId="24" fillId="5" borderId="8" xfId="2" applyNumberFormat="1" applyFont="1" applyFill="1" applyBorder="1" applyAlignment="1" applyProtection="1">
      <alignment horizontal="center" vertical="center"/>
      <protection hidden="1"/>
    </xf>
    <xf numFmtId="10" fontId="36" fillId="5" borderId="8" xfId="2" applyNumberFormat="1" applyFont="1" applyFill="1" applyBorder="1" applyAlignment="1" applyProtection="1">
      <alignment horizontal="center" vertical="center"/>
      <protection hidden="1"/>
    </xf>
    <xf numFmtId="0" fontId="14" fillId="4" borderId="17" xfId="0" quotePrefix="1" applyFont="1" applyFill="1" applyBorder="1" applyAlignment="1" applyProtection="1">
      <alignment horizontal="left" vertical="center"/>
      <protection hidden="1"/>
    </xf>
    <xf numFmtId="5" fontId="24" fillId="4" borderId="8" xfId="1" applyNumberFormat="1" applyFont="1" applyFill="1" applyBorder="1" applyAlignment="1" applyProtection="1">
      <alignment horizontal="center" vertical="center"/>
      <protection hidden="1"/>
    </xf>
    <xf numFmtId="172" fontId="36" fillId="4" borderId="12" xfId="0" applyNumberFormat="1" applyFont="1" applyFill="1" applyBorder="1" applyAlignment="1" applyProtection="1">
      <alignment horizontal="center" vertical="center"/>
      <protection hidden="1"/>
    </xf>
    <xf numFmtId="165" fontId="8" fillId="4" borderId="8" xfId="2" applyNumberFormat="1" applyFont="1" applyFill="1" applyBorder="1" applyAlignment="1" applyProtection="1">
      <alignment horizontal="center" vertical="center"/>
      <protection hidden="1"/>
    </xf>
    <xf numFmtId="0" fontId="14" fillId="4" borderId="33" xfId="0" quotePrefix="1" applyFont="1" applyFill="1" applyBorder="1" applyAlignment="1" applyProtection="1">
      <alignment horizontal="left" vertical="center"/>
      <protection hidden="1"/>
    </xf>
    <xf numFmtId="164" fontId="50" fillId="4" borderId="34" xfId="0" applyNumberFormat="1" applyFont="1" applyFill="1" applyBorder="1" applyAlignment="1" applyProtection="1">
      <alignment horizontal="center" vertical="center"/>
      <protection hidden="1"/>
    </xf>
    <xf numFmtId="164" fontId="36" fillId="4" borderId="35" xfId="0" applyNumberFormat="1" applyFont="1" applyFill="1" applyBorder="1" applyAlignment="1" applyProtection="1">
      <alignment horizontal="center" vertical="center"/>
      <protection hidden="1"/>
    </xf>
    <xf numFmtId="165" fontId="8" fillId="4" borderId="35" xfId="2" applyNumberFormat="1" applyFont="1" applyFill="1" applyBorder="1" applyAlignment="1" applyProtection="1">
      <alignment horizontal="center" vertical="center"/>
      <protection hidden="1"/>
    </xf>
    <xf numFmtId="0" fontId="51" fillId="5" borderId="33" xfId="0" quotePrefix="1" applyFont="1" applyFill="1" applyBorder="1" applyAlignment="1" applyProtection="1">
      <alignment horizontal="center" vertical="center"/>
      <protection hidden="1"/>
    </xf>
    <xf numFmtId="5" fontId="8" fillId="5" borderId="35" xfId="1" applyNumberFormat="1" applyFont="1" applyFill="1" applyBorder="1" applyAlignment="1" applyProtection="1">
      <alignment horizontal="center" vertical="center"/>
      <protection hidden="1"/>
    </xf>
    <xf numFmtId="165" fontId="14" fillId="5" borderId="35" xfId="2" applyNumberFormat="1" applyFont="1" applyFill="1" applyBorder="1" applyAlignment="1" applyProtection="1">
      <alignment horizontal="centerContinuous" vertical="center"/>
      <protection hidden="1"/>
    </xf>
    <xf numFmtId="0" fontId="44" fillId="5" borderId="36" xfId="0" applyFont="1" applyFill="1" applyBorder="1" applyAlignment="1" applyProtection="1">
      <alignment horizontal="center" vertical="center"/>
      <protection hidden="1"/>
    </xf>
    <xf numFmtId="0" fontId="44" fillId="5" borderId="3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5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6" fillId="0" borderId="0" xfId="0" quotePrefix="1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quotePrefix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2" fontId="26" fillId="4" borderId="8" xfId="0" applyNumberFormat="1" applyFont="1" applyFill="1" applyBorder="1" applyAlignment="1" applyProtection="1">
      <alignment horizontal="center" vertical="center"/>
      <protection hidden="1"/>
    </xf>
    <xf numFmtId="10" fontId="14" fillId="5" borderId="8" xfId="2" applyNumberFormat="1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left" vertical="center" indent="1"/>
      <protection hidden="1"/>
    </xf>
    <xf numFmtId="0" fontId="14" fillId="2" borderId="9" xfId="0" quotePrefix="1" applyFont="1" applyFill="1" applyBorder="1" applyAlignment="1" applyProtection="1">
      <alignment horizontal="left" vertical="center" indent="1"/>
      <protection hidden="1"/>
    </xf>
    <xf numFmtId="0" fontId="5" fillId="2" borderId="17" xfId="0" quotePrefix="1" applyFont="1" applyFill="1" applyBorder="1" applyAlignment="1" applyProtection="1">
      <alignment horizontal="center" vertical="center"/>
      <protection hidden="1"/>
    </xf>
    <xf numFmtId="0" fontId="53" fillId="2" borderId="9" xfId="0" quotePrefix="1" applyFont="1" applyFill="1" applyBorder="1" applyAlignment="1" applyProtection="1">
      <alignment horizontal="center" vertical="center" wrapText="1"/>
      <protection hidden="1"/>
    </xf>
    <xf numFmtId="37" fontId="27" fillId="2" borderId="10" xfId="0" applyNumberFormat="1" applyFont="1" applyFill="1" applyBorder="1" applyAlignment="1" applyProtection="1">
      <alignment horizontal="center" vertical="center"/>
      <protection hidden="1"/>
    </xf>
    <xf numFmtId="10" fontId="14" fillId="2" borderId="10" xfId="2" applyNumberFormat="1" applyFont="1" applyFill="1" applyBorder="1" applyAlignment="1" applyProtection="1">
      <alignment horizontal="center" vertical="center"/>
      <protection hidden="1"/>
    </xf>
    <xf numFmtId="10" fontId="54" fillId="2" borderId="10" xfId="2" applyNumberFormat="1" applyFont="1" applyFill="1" applyBorder="1" applyAlignment="1" applyProtection="1">
      <alignment horizontal="center" vertical="center"/>
      <protection hidden="1"/>
    </xf>
    <xf numFmtId="37" fontId="55" fillId="2" borderId="10" xfId="0" applyNumberFormat="1" applyFont="1" applyFill="1" applyBorder="1" applyAlignment="1" applyProtection="1">
      <alignment horizontal="center" vertical="center"/>
      <protection hidden="1"/>
    </xf>
    <xf numFmtId="0" fontId="5" fillId="2" borderId="17" xfId="0" quotePrefix="1" applyFont="1" applyFill="1" applyBorder="1" applyAlignment="1" applyProtection="1">
      <alignment horizontal="left" vertical="center"/>
      <protection hidden="1"/>
    </xf>
    <xf numFmtId="3" fontId="42" fillId="2" borderId="1" xfId="0" applyNumberFormat="1" applyFont="1" applyFill="1" applyBorder="1" applyAlignment="1" applyProtection="1">
      <alignment horizontal="center" vertical="center"/>
      <protection hidden="1"/>
    </xf>
    <xf numFmtId="3" fontId="9" fillId="2" borderId="8" xfId="0" applyNumberFormat="1" applyFont="1" applyFill="1" applyBorder="1" applyAlignment="1" applyProtection="1">
      <alignment horizontal="center" vertical="center"/>
      <protection hidden="1"/>
    </xf>
    <xf numFmtId="10" fontId="8" fillId="2" borderId="1" xfId="2" applyNumberFormat="1" applyFont="1" applyFill="1" applyBorder="1" applyAlignment="1" applyProtection="1">
      <alignment horizontal="right" vertical="center"/>
      <protection hidden="1"/>
    </xf>
    <xf numFmtId="10" fontId="9" fillId="2" borderId="8" xfId="2" applyNumberFormat="1" applyFont="1" applyFill="1" applyBorder="1" applyAlignment="1" applyProtection="1">
      <alignment horizontal="right" vertical="center"/>
      <protection hidden="1"/>
    </xf>
    <xf numFmtId="37" fontId="2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quotePrefix="1" applyFont="1" applyFill="1" applyBorder="1" applyAlignment="1" applyProtection="1">
      <alignment horizontal="left" vertical="center"/>
      <protection hidden="1"/>
    </xf>
    <xf numFmtId="1" fontId="24" fillId="2" borderId="19" xfId="0" applyNumberFormat="1" applyFont="1" applyFill="1" applyBorder="1" applyAlignment="1" applyProtection="1">
      <alignment horizontal="center" vertical="center"/>
      <protection hidden="1"/>
    </xf>
    <xf numFmtId="0" fontId="17" fillId="2" borderId="20" xfId="0" applyFont="1" applyFill="1" applyBorder="1" applyAlignment="1" applyProtection="1">
      <alignment horizontal="centerContinuous" vertical="center"/>
      <protection locked="0"/>
    </xf>
    <xf numFmtId="0" fontId="8" fillId="2" borderId="15" xfId="0" quotePrefix="1" applyFont="1" applyFill="1" applyBorder="1" applyAlignment="1" applyProtection="1">
      <alignment horizontal="center" vertical="center"/>
      <protection hidden="1"/>
    </xf>
    <xf numFmtId="165" fontId="8" fillId="2" borderId="20" xfId="2" applyNumberFormat="1" applyFont="1" applyFill="1" applyBorder="1" applyAlignment="1" applyProtection="1">
      <alignment horizontal="center" vertical="center"/>
      <protection hidden="1"/>
    </xf>
    <xf numFmtId="0" fontId="44" fillId="2" borderId="15" xfId="0" applyFont="1" applyFill="1" applyBorder="1" applyAlignment="1" applyProtection="1">
      <alignment horizontal="center"/>
      <protection hidden="1"/>
    </xf>
    <xf numFmtId="0" fontId="44" fillId="2" borderId="16" xfId="0" applyFont="1" applyFill="1" applyBorder="1" applyAlignment="1" applyProtection="1">
      <alignment horizontal="center"/>
      <protection hidden="1"/>
    </xf>
    <xf numFmtId="0" fontId="14" fillId="5" borderId="33" xfId="0" quotePrefix="1" applyFont="1" applyFill="1" applyBorder="1" applyAlignment="1" applyProtection="1">
      <alignment horizontal="left" vertical="center"/>
      <protection hidden="1"/>
    </xf>
    <xf numFmtId="5" fontId="24" fillId="5" borderId="35" xfId="1" applyNumberFormat="1" applyFont="1" applyFill="1" applyBorder="1" applyAlignment="1" applyProtection="1">
      <alignment horizontal="center" vertical="center"/>
      <protection hidden="1"/>
    </xf>
    <xf numFmtId="5" fontId="15" fillId="5" borderId="35" xfId="1" applyNumberFormat="1" applyFont="1" applyFill="1" applyBorder="1" applyAlignment="1" applyProtection="1">
      <alignment horizontal="center" vertical="center"/>
      <protection locked="0"/>
    </xf>
    <xf numFmtId="172" fontId="36" fillId="5" borderId="35" xfId="0" applyNumberFormat="1" applyFont="1" applyFill="1" applyBorder="1" applyAlignment="1" applyProtection="1">
      <alignment horizontal="center" vertical="center"/>
      <protection hidden="1"/>
    </xf>
    <xf numFmtId="0" fontId="23" fillId="3" borderId="12" xfId="0" applyFont="1" applyFill="1" applyBorder="1" applyAlignment="1" applyProtection="1">
      <alignment horizontal="center" vertical="center"/>
      <protection hidden="1"/>
    </xf>
    <xf numFmtId="0" fontId="23" fillId="3" borderId="5" xfId="0" applyFont="1" applyFill="1" applyBorder="1" applyAlignment="1" applyProtection="1">
      <alignment horizontal="center" vertical="center"/>
      <protection hidden="1"/>
    </xf>
    <xf numFmtId="0" fontId="49" fillId="3" borderId="18" xfId="0" quotePrefix="1" applyFont="1" applyFill="1" applyBorder="1" applyAlignment="1" applyProtection="1">
      <alignment horizontal="center" vertical="center"/>
      <protection hidden="1"/>
    </xf>
    <xf numFmtId="0" fontId="49" fillId="3" borderId="0" xfId="0" quotePrefix="1" applyFont="1" applyFill="1" applyBorder="1" applyAlignment="1" applyProtection="1">
      <alignment horizontal="center" vertical="center"/>
      <protection hidden="1"/>
    </xf>
    <xf numFmtId="0" fontId="49" fillId="3" borderId="23" xfId="0" quotePrefix="1" applyFont="1" applyFill="1" applyBorder="1" applyAlignment="1" applyProtection="1">
      <alignment horizontal="center" vertical="center"/>
      <protection hidden="1"/>
    </xf>
    <xf numFmtId="0" fontId="49" fillId="3" borderId="64" xfId="0" quotePrefix="1" applyFont="1" applyFill="1" applyBorder="1" applyAlignment="1" applyProtection="1">
      <alignment horizontal="center" vertical="center"/>
      <protection hidden="1"/>
    </xf>
    <xf numFmtId="0" fontId="49" fillId="3" borderId="65" xfId="0" quotePrefix="1" applyFont="1" applyFill="1" applyBorder="1" applyAlignment="1" applyProtection="1">
      <alignment horizontal="center" vertical="center"/>
      <protection hidden="1"/>
    </xf>
    <xf numFmtId="0" fontId="49" fillId="3" borderId="66" xfId="0" quotePrefix="1" applyFont="1" applyFill="1" applyBorder="1" applyAlignment="1" applyProtection="1">
      <alignment horizontal="center" vertical="center"/>
      <protection hidden="1"/>
    </xf>
    <xf numFmtId="0" fontId="23" fillId="3" borderId="51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49" fillId="3" borderId="61" xfId="0" quotePrefix="1" applyFont="1" applyFill="1" applyBorder="1" applyAlignment="1" applyProtection="1">
      <alignment horizontal="center" vertical="center"/>
      <protection hidden="1"/>
    </xf>
    <xf numFmtId="0" fontId="49" fillId="3" borderId="62" xfId="0" quotePrefix="1" applyFont="1" applyFill="1" applyBorder="1" applyAlignment="1" applyProtection="1">
      <alignment horizontal="center" vertical="center"/>
      <protection hidden="1"/>
    </xf>
    <xf numFmtId="0" fontId="49" fillId="3" borderId="63" xfId="0" quotePrefix="1" applyFont="1" applyFill="1" applyBorder="1" applyAlignment="1" applyProtection="1">
      <alignment horizontal="center" vertical="center"/>
      <protection hidden="1"/>
    </xf>
    <xf numFmtId="0" fontId="49" fillId="7" borderId="67" xfId="0" quotePrefix="1" applyFont="1" applyFill="1" applyBorder="1" applyAlignment="1" applyProtection="1">
      <alignment horizontal="center" vertical="center"/>
      <protection hidden="1"/>
    </xf>
    <xf numFmtId="0" fontId="49" fillId="7" borderId="68" xfId="0" quotePrefix="1" applyFont="1" applyFill="1" applyBorder="1" applyAlignment="1" applyProtection="1">
      <alignment horizontal="center" vertical="center"/>
      <protection hidden="1"/>
    </xf>
    <xf numFmtId="0" fontId="49" fillId="7" borderId="69" xfId="0" quotePrefix="1" applyFont="1" applyFill="1" applyBorder="1" applyAlignment="1" applyProtection="1">
      <alignment horizontal="center" vertical="center"/>
      <protection hidden="1"/>
    </xf>
    <xf numFmtId="0" fontId="32" fillId="0" borderId="46" xfId="0" applyFont="1" applyBorder="1" applyAlignment="1" applyProtection="1">
      <alignment horizontal="center" vertical="center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0" fontId="32" fillId="0" borderId="47" xfId="0" applyFont="1" applyBorder="1" applyAlignment="1" applyProtection="1">
      <alignment horizontal="center" vertical="center"/>
      <protection hidden="1"/>
    </xf>
    <xf numFmtId="0" fontId="33" fillId="0" borderId="46" xfId="0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33" fillId="0" borderId="47" xfId="0" applyFont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center" vertical="center"/>
      <protection hidden="1"/>
    </xf>
    <xf numFmtId="0" fontId="2" fillId="3" borderId="47" xfId="0" applyFont="1" applyFill="1" applyBorder="1" applyAlignment="1" applyProtection="1">
      <alignment horizontal="center" vertical="center"/>
      <protection hidden="1"/>
    </xf>
    <xf numFmtId="0" fontId="26" fillId="2" borderId="52" xfId="0" applyFont="1" applyFill="1" applyBorder="1" applyAlignment="1" applyProtection="1">
      <alignment horizontal="center" vertical="center" wrapText="1"/>
      <protection hidden="1"/>
    </xf>
    <xf numFmtId="0" fontId="26" fillId="2" borderId="53" xfId="0" applyFont="1" applyFill="1" applyBorder="1" applyAlignment="1" applyProtection="1">
      <alignment horizontal="center" vertical="center" wrapText="1"/>
      <protection hidden="1"/>
    </xf>
    <xf numFmtId="0" fontId="26" fillId="2" borderId="54" xfId="0" applyFont="1" applyFill="1" applyBorder="1" applyAlignment="1" applyProtection="1">
      <alignment horizontal="center" vertical="center" wrapText="1"/>
      <protection hidden="1"/>
    </xf>
    <xf numFmtId="0" fontId="26" fillId="2" borderId="18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Alignment="1" applyProtection="1">
      <alignment horizontal="center" vertical="center" wrapText="1"/>
      <protection hidden="1"/>
    </xf>
    <xf numFmtId="0" fontId="26" fillId="2" borderId="23" xfId="0" applyFont="1" applyFill="1" applyBorder="1" applyAlignment="1" applyProtection="1">
      <alignment horizontal="center" vertical="center" wrapText="1"/>
      <protection hidden="1"/>
    </xf>
    <xf numFmtId="0" fontId="26" fillId="2" borderId="55" xfId="0" applyFont="1" applyFill="1" applyBorder="1" applyAlignment="1" applyProtection="1">
      <alignment horizontal="center" vertical="center" wrapText="1"/>
      <protection hidden="1"/>
    </xf>
    <xf numFmtId="0" fontId="26" fillId="2" borderId="56" xfId="0" applyFont="1" applyFill="1" applyBorder="1" applyAlignment="1" applyProtection="1">
      <alignment horizontal="center" vertical="center" wrapText="1"/>
      <protection hidden="1"/>
    </xf>
    <xf numFmtId="0" fontId="26" fillId="2" borderId="57" xfId="0" applyFont="1" applyFill="1" applyBorder="1" applyAlignment="1" applyProtection="1">
      <alignment horizontal="center" vertical="center" wrapText="1"/>
      <protection hidden="1"/>
    </xf>
    <xf numFmtId="165" fontId="31" fillId="2" borderId="3" xfId="2" applyNumberFormat="1" applyFont="1" applyFill="1" applyBorder="1" applyAlignment="1" applyProtection="1">
      <alignment horizontal="center" vertical="center"/>
      <protection hidden="1"/>
    </xf>
    <xf numFmtId="165" fontId="31" fillId="2" borderId="12" xfId="2" applyNumberFormat="1" applyFont="1" applyFill="1" applyBorder="1" applyAlignment="1" applyProtection="1">
      <alignment horizontal="center" vertical="center"/>
      <protection hidden="1"/>
    </xf>
    <xf numFmtId="165" fontId="31" fillId="2" borderId="47" xfId="2" applyNumberFormat="1" applyFont="1" applyFill="1" applyBorder="1" applyAlignment="1" applyProtection="1">
      <alignment horizontal="center" vertical="center"/>
      <protection hidden="1"/>
    </xf>
    <xf numFmtId="165" fontId="19" fillId="3" borderId="12" xfId="2" applyNumberFormat="1" applyFont="1" applyFill="1" applyBorder="1" applyAlignment="1" applyProtection="1">
      <alignment horizontal="center"/>
      <protection hidden="1"/>
    </xf>
    <xf numFmtId="165" fontId="19" fillId="3" borderId="5" xfId="2" applyNumberFormat="1" applyFont="1" applyFill="1" applyBorder="1" applyAlignment="1" applyProtection="1">
      <alignment horizontal="center"/>
      <protection hidden="1"/>
    </xf>
    <xf numFmtId="0" fontId="37" fillId="3" borderId="18" xfId="0" applyFont="1" applyFill="1" applyBorder="1" applyAlignment="1" applyProtection="1">
      <alignment horizontal="center"/>
      <protection hidden="1"/>
    </xf>
    <xf numFmtId="0" fontId="37" fillId="3" borderId="0" xfId="0" applyFont="1" applyFill="1" applyBorder="1" applyAlignment="1" applyProtection="1">
      <alignment horizontal="center"/>
      <protection hidden="1"/>
    </xf>
    <xf numFmtId="0" fontId="37" fillId="3" borderId="23" xfId="0" applyFont="1" applyFill="1" applyBorder="1" applyAlignment="1" applyProtection="1">
      <alignment horizontal="center"/>
      <protection hidden="1"/>
    </xf>
    <xf numFmtId="0" fontId="37" fillId="3" borderId="64" xfId="0" applyFont="1" applyFill="1" applyBorder="1" applyAlignment="1" applyProtection="1">
      <alignment horizontal="center"/>
      <protection hidden="1"/>
    </xf>
    <xf numFmtId="0" fontId="37" fillId="3" borderId="65" xfId="0" applyFont="1" applyFill="1" applyBorder="1" applyAlignment="1" applyProtection="1">
      <alignment horizontal="center"/>
      <protection hidden="1"/>
    </xf>
    <xf numFmtId="0" fontId="37" fillId="3" borderId="66" xfId="0" applyFont="1" applyFill="1" applyBorder="1" applyAlignment="1" applyProtection="1">
      <alignment horizontal="center"/>
      <protection hidden="1"/>
    </xf>
    <xf numFmtId="0" fontId="9" fillId="3" borderId="51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2" fillId="3" borderId="61" xfId="0" applyFont="1" applyFill="1" applyBorder="1" applyAlignment="1" applyProtection="1">
      <alignment horizontal="center"/>
      <protection hidden="1"/>
    </xf>
    <xf numFmtId="0" fontId="2" fillId="3" borderId="62" xfId="0" applyFont="1" applyFill="1" applyBorder="1" applyAlignment="1" applyProtection="1">
      <alignment horizontal="center"/>
      <protection hidden="1"/>
    </xf>
    <xf numFmtId="0" fontId="2" fillId="3" borderId="63" xfId="0" applyFont="1" applyFill="1" applyBorder="1" applyAlignment="1" applyProtection="1">
      <alignment horizontal="center"/>
      <protection hidden="1"/>
    </xf>
    <xf numFmtId="0" fontId="2" fillId="3" borderId="64" xfId="0" applyFont="1" applyFill="1" applyBorder="1" applyAlignment="1" applyProtection="1">
      <alignment horizontal="center"/>
      <protection hidden="1"/>
    </xf>
    <xf numFmtId="0" fontId="2" fillId="3" borderId="65" xfId="0" applyFont="1" applyFill="1" applyBorder="1" applyAlignment="1" applyProtection="1">
      <alignment horizontal="center"/>
      <protection hidden="1"/>
    </xf>
    <xf numFmtId="0" fontId="2" fillId="3" borderId="66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3" borderId="21" xfId="0" applyFont="1" applyFill="1" applyBorder="1" applyAlignment="1" applyProtection="1">
      <alignment horizontal="center" vertical="center"/>
      <protection hidden="1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3" borderId="64" xfId="0" applyFont="1" applyFill="1" applyBorder="1" applyAlignment="1" applyProtection="1">
      <alignment horizontal="center" vertical="center"/>
      <protection hidden="1"/>
    </xf>
    <xf numFmtId="0" fontId="2" fillId="3" borderId="65" xfId="0" applyFont="1" applyFill="1" applyBorder="1" applyAlignment="1" applyProtection="1">
      <alignment horizontal="center" vertical="center"/>
      <protection hidden="1"/>
    </xf>
    <xf numFmtId="0" fontId="2" fillId="3" borderId="66" xfId="0" applyFont="1" applyFill="1" applyBorder="1" applyAlignment="1" applyProtection="1">
      <alignment horizontal="center" vertical="center"/>
      <protection hidden="1"/>
    </xf>
    <xf numFmtId="0" fontId="18" fillId="0" borderId="44" xfId="0" quotePrefix="1" applyFont="1" applyBorder="1" applyAlignment="1" applyProtection="1">
      <alignment horizontal="center" vertical="center"/>
      <protection hidden="1"/>
    </xf>
    <xf numFmtId="0" fontId="18" fillId="0" borderId="45" xfId="0" quotePrefix="1" applyFont="1" applyBorder="1" applyAlignment="1" applyProtection="1">
      <alignment horizontal="center" vertical="center"/>
      <protection hidden="1"/>
    </xf>
    <xf numFmtId="0" fontId="38" fillId="0" borderId="51" xfId="0" applyFont="1" applyBorder="1" applyAlignment="1" applyProtection="1">
      <alignment horizontal="center" vertical="center"/>
      <protection hidden="1"/>
    </xf>
    <xf numFmtId="0" fontId="38" fillId="0" borderId="12" xfId="0" applyFont="1" applyBorder="1" applyAlignment="1" applyProtection="1">
      <alignment horizontal="center" vertical="center"/>
      <protection hidden="1"/>
    </xf>
    <xf numFmtId="0" fontId="38" fillId="0" borderId="5" xfId="0" applyFont="1" applyBorder="1" applyAlignment="1" applyProtection="1">
      <alignment horizontal="center" vertical="center"/>
      <protection hidden="1"/>
    </xf>
    <xf numFmtId="0" fontId="15" fillId="0" borderId="5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2" fillId="3" borderId="51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8" fillId="3" borderId="12" xfId="0" applyFont="1" applyFill="1" applyBorder="1" applyAlignment="1" applyProtection="1">
      <alignment horizontal="center"/>
      <protection hidden="1"/>
    </xf>
    <xf numFmtId="0" fontId="28" fillId="3" borderId="5" xfId="0" applyFont="1" applyFill="1" applyBorder="1" applyAlignment="1" applyProtection="1">
      <alignment horizontal="center"/>
      <protection hidden="1"/>
    </xf>
    <xf numFmtId="0" fontId="21" fillId="3" borderId="12" xfId="0" applyFont="1" applyFill="1" applyBorder="1" applyAlignment="1" applyProtection="1">
      <alignment horizontal="center"/>
      <protection hidden="1"/>
    </xf>
    <xf numFmtId="0" fontId="21" fillId="3" borderId="5" xfId="0" applyFont="1" applyFill="1" applyBorder="1" applyAlignment="1" applyProtection="1">
      <alignment horizontal="center"/>
      <protection hidden="1"/>
    </xf>
    <xf numFmtId="168" fontId="22" fillId="0" borderId="0" xfId="0" applyNumberFormat="1" applyFont="1" applyBorder="1" applyAlignment="1" applyProtection="1">
      <alignment horizontal="left" indent="1"/>
      <protection locked="0"/>
    </xf>
    <xf numFmtId="168" fontId="22" fillId="0" borderId="0" xfId="0" quotePrefix="1" applyNumberFormat="1" applyFont="1" applyBorder="1" applyAlignment="1" applyProtection="1">
      <alignment horizontal="left" indent="1"/>
      <protection locked="0"/>
    </xf>
    <xf numFmtId="0" fontId="42" fillId="0" borderId="3" xfId="0" applyFont="1" applyBorder="1" applyAlignment="1" applyProtection="1">
      <alignment horizontal="center" vertical="center" wrapText="1"/>
      <protection hidden="1"/>
    </xf>
    <xf numFmtId="0" fontId="42" fillId="0" borderId="43" xfId="0" quotePrefix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4" fillId="0" borderId="49" xfId="0" applyFont="1" applyBorder="1" applyAlignment="1" applyProtection="1">
      <alignment horizontal="center" vertical="center"/>
      <protection hidden="1"/>
    </xf>
    <xf numFmtId="0" fontId="14" fillId="0" borderId="50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42" fillId="0" borderId="58" xfId="0" applyFont="1" applyBorder="1" applyAlignment="1" applyProtection="1">
      <alignment horizontal="center" vertical="center" wrapText="1"/>
      <protection hidden="1"/>
    </xf>
    <xf numFmtId="0" fontId="42" fillId="0" borderId="59" xfId="0" applyFont="1" applyBorder="1" applyAlignment="1" applyProtection="1">
      <alignment horizontal="center" vertical="center" wrapText="1"/>
      <protection hidden="1"/>
    </xf>
    <xf numFmtId="0" fontId="42" fillId="0" borderId="60" xfId="0" applyFont="1" applyBorder="1" applyAlignment="1" applyProtection="1">
      <alignment horizontal="center" vertical="center" wrapText="1"/>
      <protection hidden="1"/>
    </xf>
    <xf numFmtId="0" fontId="42" fillId="0" borderId="18" xfId="0" applyFont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42" fillId="0" borderId="23" xfId="0" applyFont="1" applyBorder="1" applyAlignment="1" applyProtection="1">
      <alignment horizontal="center" vertical="center" wrapText="1"/>
      <protection hidden="1"/>
    </xf>
    <xf numFmtId="0" fontId="3" fillId="0" borderId="45" xfId="0" quotePrefix="1" applyFont="1" applyBorder="1" applyAlignment="1" applyProtection="1">
      <alignment horizontal="center" vertical="center"/>
      <protection hidden="1"/>
    </xf>
    <xf numFmtId="0" fontId="3" fillId="0" borderId="48" xfId="0" quotePrefix="1" applyFont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 wrapText="1"/>
      <protection hidden="1"/>
    </xf>
    <xf numFmtId="165" fontId="30" fillId="2" borderId="18" xfId="2" quotePrefix="1" applyNumberFormat="1" applyFont="1" applyFill="1" applyBorder="1" applyAlignment="1" applyProtection="1">
      <alignment horizontal="center" vertical="center"/>
      <protection hidden="1"/>
    </xf>
    <xf numFmtId="165" fontId="30" fillId="2" borderId="55" xfId="2" applyNumberFormat="1" applyFont="1" applyFill="1" applyBorder="1" applyAlignment="1" applyProtection="1">
      <alignment horizontal="center" vertical="center"/>
      <protection hidden="1"/>
    </xf>
    <xf numFmtId="165" fontId="31" fillId="2" borderId="52" xfId="2" applyNumberFormat="1" applyFont="1" applyFill="1" applyBorder="1" applyAlignment="1" applyProtection="1">
      <alignment horizontal="center" vertical="center"/>
      <protection hidden="1"/>
    </xf>
    <xf numFmtId="172" fontId="57" fillId="0" borderId="0" xfId="0" applyNumberFormat="1" applyFont="1" applyAlignment="1" applyProtection="1">
      <alignment horizontal="left" vertical="center" wrapText="1"/>
    </xf>
    <xf numFmtId="172" fontId="58" fillId="0" borderId="0" xfId="0" applyNumberFormat="1" applyFont="1" applyBorder="1" applyAlignment="1" applyProtection="1">
      <alignment horizontal="left" vertical="center" wrapText="1"/>
    </xf>
    <xf numFmtId="172" fontId="58" fillId="0" borderId="0" xfId="0" applyNumberFormat="1" applyFont="1" applyAlignment="1" applyProtection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285750</xdr:rowOff>
    </xdr:from>
    <xdr:to>
      <xdr:col>0</xdr:col>
      <xdr:colOff>2705101</xdr:colOff>
      <xdr:row>2</xdr:row>
      <xdr:rowOff>390524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85750"/>
          <a:ext cx="2486026" cy="11144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22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22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abSelected="1" zoomScaleNormal="100" workbookViewId="0">
      <selection activeCell="A8" sqref="A8"/>
    </sheetView>
  </sheetViews>
  <sheetFormatPr defaultRowHeight="15.75" customHeight="1"/>
  <cols>
    <col min="1" max="1" width="40.7109375" style="24" customWidth="1"/>
    <col min="2" max="5" width="17.7109375" style="24" customWidth="1"/>
    <col min="6" max="10" width="4.7109375" style="24" customWidth="1"/>
    <col min="11" max="12" width="9.140625" style="24"/>
    <col min="13" max="15" width="0" style="24" hidden="1" customWidth="1"/>
    <col min="16" max="16384" width="9.140625" style="24"/>
  </cols>
  <sheetData>
    <row r="1" spans="1:15" ht="39.950000000000003" customHeight="1">
      <c r="A1" s="313"/>
      <c r="B1" s="331" t="s">
        <v>99</v>
      </c>
      <c r="C1" s="331"/>
      <c r="D1" s="331"/>
      <c r="E1" s="331"/>
      <c r="F1" s="331"/>
      <c r="G1" s="331"/>
      <c r="H1" s="331"/>
      <c r="I1" s="331"/>
      <c r="J1" s="331"/>
    </row>
    <row r="2" spans="1:15" ht="39.950000000000003" customHeight="1">
      <c r="A2" s="313"/>
      <c r="B2" s="333" t="s">
        <v>100</v>
      </c>
      <c r="C2" s="333"/>
      <c r="D2" s="333"/>
      <c r="E2" s="333"/>
      <c r="F2" s="333"/>
      <c r="G2" s="333"/>
      <c r="H2" s="333"/>
      <c r="I2" s="333"/>
      <c r="J2" s="333"/>
    </row>
    <row r="3" spans="1:15" ht="39.950000000000003" customHeight="1">
      <c r="A3" s="313"/>
      <c r="B3" s="332" t="s">
        <v>101</v>
      </c>
      <c r="C3" s="332"/>
      <c r="D3" s="332"/>
      <c r="E3" s="332"/>
      <c r="F3" s="332"/>
      <c r="G3" s="332"/>
      <c r="H3" s="332"/>
      <c r="I3" s="332"/>
      <c r="J3" s="332"/>
    </row>
    <row r="4" spans="1:15" ht="9.9499999999999993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</row>
    <row r="5" spans="1:15" ht="35.1" customHeight="1">
      <c r="A5" s="22" t="s">
        <v>97</v>
      </c>
      <c r="B5" s="23"/>
      <c r="C5" s="23"/>
      <c r="D5" s="23"/>
      <c r="E5" s="23"/>
      <c r="F5" s="23"/>
      <c r="G5" s="23"/>
      <c r="H5" s="23"/>
      <c r="I5" s="23"/>
      <c r="J5" s="23"/>
    </row>
    <row r="6" spans="1:15" s="27" customFormat="1" ht="24.75" customHeight="1">
      <c r="A6" s="25" t="s">
        <v>8</v>
      </c>
      <c r="B6" s="26"/>
      <c r="C6" s="26"/>
      <c r="D6" s="26"/>
      <c r="E6" s="26"/>
      <c r="F6" s="26"/>
      <c r="G6" s="26"/>
      <c r="H6" s="26"/>
      <c r="I6" s="26"/>
      <c r="J6" s="26"/>
    </row>
    <row r="7" spans="1:15" ht="5.0999999999999996" customHeight="1">
      <c r="A7" s="28"/>
      <c r="B7" s="23"/>
      <c r="C7" s="23"/>
      <c r="D7" s="23"/>
      <c r="E7" s="29"/>
      <c r="F7" s="313"/>
      <c r="G7" s="313"/>
      <c r="H7" s="313"/>
      <c r="I7" s="313"/>
      <c r="J7" s="313"/>
    </row>
    <row r="8" spans="1:15" ht="22.5">
      <c r="A8" s="30" t="s">
        <v>70</v>
      </c>
      <c r="B8" s="31" t="s">
        <v>96</v>
      </c>
      <c r="C8" s="23"/>
      <c r="D8" s="23"/>
      <c r="E8" s="29"/>
      <c r="F8" s="313"/>
      <c r="G8" s="313"/>
      <c r="H8" s="313"/>
      <c r="I8" s="313"/>
      <c r="J8" s="313"/>
    </row>
    <row r="9" spans="1:15" ht="22.5">
      <c r="A9" s="30" t="s">
        <v>9</v>
      </c>
      <c r="B9" s="309" t="s">
        <v>98</v>
      </c>
      <c r="C9" s="310"/>
      <c r="D9" s="310"/>
      <c r="E9" s="310"/>
      <c r="F9" s="313"/>
      <c r="G9" s="313"/>
      <c r="H9" s="313"/>
      <c r="I9" s="313"/>
      <c r="J9" s="313"/>
    </row>
    <row r="10" spans="1:15" ht="5.0999999999999996" customHeight="1" thickBot="1">
      <c r="F10" s="314"/>
      <c r="G10" s="314"/>
      <c r="H10" s="314"/>
      <c r="I10" s="314"/>
      <c r="J10" s="314"/>
    </row>
    <row r="11" spans="1:15" ht="24" customHeight="1" thickTop="1">
      <c r="A11" s="315" t="s">
        <v>25</v>
      </c>
      <c r="B11" s="317" t="s">
        <v>26</v>
      </c>
      <c r="C11" s="311" t="s">
        <v>27</v>
      </c>
      <c r="D11" s="311" t="s">
        <v>11</v>
      </c>
      <c r="E11" s="319" t="s">
        <v>28</v>
      </c>
      <c r="F11" s="320"/>
      <c r="G11" s="320"/>
      <c r="H11" s="320"/>
      <c r="I11" s="320"/>
      <c r="J11" s="321"/>
    </row>
    <row r="12" spans="1:15" ht="24" customHeight="1" thickBot="1">
      <c r="A12" s="316"/>
      <c r="B12" s="318"/>
      <c r="C12" s="312"/>
      <c r="D12" s="312"/>
      <c r="E12" s="322"/>
      <c r="F12" s="323"/>
      <c r="G12" s="323"/>
      <c r="H12" s="323"/>
      <c r="I12" s="323"/>
      <c r="J12" s="324"/>
    </row>
    <row r="13" spans="1:15" ht="30" customHeight="1">
      <c r="A13" s="32" t="s">
        <v>71</v>
      </c>
      <c r="B13" s="250">
        <v>26</v>
      </c>
      <c r="C13" s="253">
        <v>21</v>
      </c>
      <c r="D13" s="256"/>
      <c r="E13" s="330">
        <f>IF(B13=0,0,(C13/B13))</f>
        <v>0.80769230769230771</v>
      </c>
      <c r="F13" s="259" t="s">
        <v>20</v>
      </c>
      <c r="G13" s="259"/>
      <c r="H13" s="259"/>
      <c r="I13" s="259"/>
      <c r="J13" s="260"/>
    </row>
    <row r="14" spans="1:15" ht="21" customHeight="1">
      <c r="A14" s="325" t="s">
        <v>72</v>
      </c>
      <c r="B14" s="251"/>
      <c r="C14" s="254"/>
      <c r="D14" s="242"/>
      <c r="E14" s="328" t="s">
        <v>22</v>
      </c>
      <c r="F14" s="327"/>
      <c r="G14" s="327"/>
      <c r="H14" s="327"/>
      <c r="I14" s="327"/>
      <c r="J14" s="263"/>
      <c r="M14" s="33">
        <f>(IF($C13/$B13&lt;=1/3,($C13/($B13*0.33333))*(0.33333*$B13),0))+(IF($C13/$B13&gt;1/3,(0.33333*$B13),0))</f>
        <v>8.6665799999999997</v>
      </c>
      <c r="N14" s="34">
        <f>(IF(AND($C13/$B13&gt;1/3,$C13/$B13&lt;=2/3),((($C13-(0.33333*$B13))/(0.33333*$B13))*($B13*0.33333)),0))+(IF($C13/$B13&gt;2/3,($B13*0.33333),0))</f>
        <v>8.6665799999999997</v>
      </c>
      <c r="O14" s="34">
        <f>(IF($C13/$B13&gt;2/3,((($C13-(0.33333*$B13))/(0.33333*$B13))*($B13*0.33333)),0))</f>
        <v>12.33342</v>
      </c>
    </row>
    <row r="15" spans="1:15" ht="5.0999999999999996" customHeight="1" thickBot="1">
      <c r="A15" s="326"/>
      <c r="B15" s="252"/>
      <c r="C15" s="255"/>
      <c r="D15" s="257"/>
      <c r="E15" s="329"/>
      <c r="F15" s="265"/>
      <c r="G15" s="265"/>
      <c r="H15" s="265"/>
      <c r="I15" s="265"/>
      <c r="J15" s="266"/>
    </row>
    <row r="16" spans="1:15" ht="20.100000000000001" customHeight="1" thickTop="1">
      <c r="A16" s="295" t="s">
        <v>12</v>
      </c>
      <c r="B16" s="297">
        <v>100</v>
      </c>
      <c r="C16" s="300">
        <v>59</v>
      </c>
      <c r="D16" s="303"/>
      <c r="E16" s="278"/>
      <c r="F16" s="280"/>
      <c r="G16" s="281"/>
      <c r="H16" s="281"/>
      <c r="I16" s="281"/>
      <c r="J16" s="282"/>
    </row>
    <row r="17" spans="1:15" ht="5.0999999999999996" customHeight="1">
      <c r="A17" s="296"/>
      <c r="B17" s="298"/>
      <c r="C17" s="301"/>
      <c r="D17" s="304"/>
      <c r="E17" s="279"/>
      <c r="F17" s="283"/>
      <c r="G17" s="284"/>
      <c r="H17" s="284"/>
      <c r="I17" s="284"/>
      <c r="J17" s="285"/>
    </row>
    <row r="18" spans="1:15" s="38" customFormat="1" ht="21.75" customHeight="1">
      <c r="A18" s="35" t="s">
        <v>73</v>
      </c>
      <c r="B18" s="299"/>
      <c r="C18" s="302"/>
      <c r="D18" s="36"/>
      <c r="E18" s="37"/>
      <c r="F18" s="286"/>
      <c r="G18" s="287"/>
      <c r="H18" s="287"/>
      <c r="I18" s="287"/>
      <c r="J18" s="288"/>
    </row>
    <row r="19" spans="1:15" s="38" customFormat="1" ht="26.1" customHeight="1">
      <c r="A19" s="39" t="s">
        <v>74</v>
      </c>
      <c r="B19" s="40">
        <v>1315</v>
      </c>
      <c r="C19" s="4">
        <v>1124</v>
      </c>
      <c r="D19" s="41">
        <f>C19</f>
        <v>1124</v>
      </c>
      <c r="E19" s="42">
        <f>IF(B19=0,0,(D19/B19))</f>
        <v>0.85475285171102666</v>
      </c>
      <c r="F19" s="43">
        <f>IF((E19)&lt;0.75,P$179,0)</f>
        <v>0</v>
      </c>
      <c r="G19" s="43" t="str">
        <f>IF(AND((E19)&gt;=0.75,(E19)&lt;0.875),L$179,0)</f>
        <v>D</v>
      </c>
      <c r="H19" s="43">
        <f>IF(AND((E19)&gt;=0.875,(E19)&lt;0.95),N$178,0)</f>
        <v>0</v>
      </c>
      <c r="I19" s="43">
        <f>IF(AND((E19)&gt;=0.95,(E19)&lt;1.05),L$178,0)</f>
        <v>0</v>
      </c>
      <c r="J19" s="44">
        <f>IF((E19)&gt;=1.05,M$179,0)</f>
        <v>0</v>
      </c>
      <c r="M19" s="45"/>
      <c r="N19" s="45"/>
      <c r="O19" s="45"/>
    </row>
    <row r="20" spans="1:15" s="47" customFormat="1" ht="18" customHeight="1">
      <c r="A20" s="46" t="s">
        <v>23</v>
      </c>
      <c r="B20" s="305"/>
      <c r="C20" s="3">
        <v>1</v>
      </c>
      <c r="D20" s="307"/>
      <c r="E20" s="270"/>
      <c r="F20" s="272"/>
      <c r="G20" s="273"/>
      <c r="H20" s="273"/>
      <c r="I20" s="273"/>
      <c r="J20" s="274"/>
    </row>
    <row r="21" spans="1:15" s="47" customFormat="1" ht="18" customHeight="1">
      <c r="A21" s="48" t="s">
        <v>24</v>
      </c>
      <c r="B21" s="305"/>
      <c r="C21" s="2">
        <v>6</v>
      </c>
      <c r="D21" s="307"/>
      <c r="E21" s="270"/>
      <c r="F21" s="272"/>
      <c r="G21" s="273"/>
      <c r="H21" s="273"/>
      <c r="I21" s="273"/>
      <c r="J21" s="274"/>
    </row>
    <row r="22" spans="1:15" s="47" customFormat="1" ht="18" customHeight="1">
      <c r="A22" s="49" t="s">
        <v>13</v>
      </c>
      <c r="B22" s="305"/>
      <c r="C22" s="1">
        <v>0.7</v>
      </c>
      <c r="D22" s="308"/>
      <c r="E22" s="271"/>
      <c r="F22" s="275"/>
      <c r="G22" s="276"/>
      <c r="H22" s="276"/>
      <c r="I22" s="276"/>
      <c r="J22" s="277"/>
    </row>
    <row r="23" spans="1:15" s="47" customFormat="1" ht="26.1" customHeight="1">
      <c r="A23" s="50" t="s">
        <v>14</v>
      </c>
      <c r="B23" s="306"/>
      <c r="C23" s="51">
        <f>IF(((C21*C22)=0),0,(C16+C20+(ROUND(C21*C22,0))))</f>
        <v>64</v>
      </c>
      <c r="D23" s="52">
        <f>IF(E$13=0,0,(ROUND(C23/E$13,0)))</f>
        <v>79</v>
      </c>
      <c r="E23" s="53">
        <f>IF(B16=0,0,(D23/B16))</f>
        <v>0.79</v>
      </c>
      <c r="F23" s="54">
        <f t="shared" ref="F23:F33" si="0">IF((E23)&lt;0.75,P$179,0)</f>
        <v>0</v>
      </c>
      <c r="G23" s="55" t="str">
        <f t="shared" ref="G23:G33" si="1">IF(AND((E23)&gt;=0.75,(E23)&lt;0.875),L$179,0)</f>
        <v>D</v>
      </c>
      <c r="H23" s="55">
        <f t="shared" ref="H23:H33" si="2">IF(AND((E23)&gt;=0.875,(E23)&lt;0.95),N$178,0)</f>
        <v>0</v>
      </c>
      <c r="I23" s="55">
        <f t="shared" ref="I23:I33" si="3">IF(AND((E23)&gt;=0.95,(E23)&lt;1.05),L$178,0)</f>
        <v>0</v>
      </c>
      <c r="J23" s="56">
        <f t="shared" ref="J23:J33" si="4">IF((E23)&gt;=1.05,M$179,0)</f>
        <v>0</v>
      </c>
    </row>
    <row r="24" spans="1:15" s="62" customFormat="1" ht="26.1" customHeight="1">
      <c r="A24" s="57" t="s">
        <v>75</v>
      </c>
      <c r="B24" s="58">
        <f>(B16+B20)*B19</f>
        <v>131500</v>
      </c>
      <c r="C24" s="58">
        <f>C23*C19</f>
        <v>71936</v>
      </c>
      <c r="D24" s="58">
        <f>D23*D19</f>
        <v>88796</v>
      </c>
      <c r="E24" s="59">
        <f t="shared" ref="E24:E33" si="5">IF(B24=0,0,(D24/B24))</f>
        <v>0.67525475285171099</v>
      </c>
      <c r="F24" s="60" t="str">
        <f t="shared" si="0"/>
        <v>M</v>
      </c>
      <c r="G24" s="60">
        <f t="shared" si="1"/>
        <v>0</v>
      </c>
      <c r="H24" s="60">
        <f t="shared" si="2"/>
        <v>0</v>
      </c>
      <c r="I24" s="60">
        <f t="shared" si="3"/>
        <v>0</v>
      </c>
      <c r="J24" s="61">
        <f t="shared" si="4"/>
        <v>0</v>
      </c>
    </row>
    <row r="25" spans="1:15" s="62" customFormat="1" ht="26.1" customHeight="1">
      <c r="A25" s="208" t="s">
        <v>89</v>
      </c>
      <c r="B25" s="212">
        <v>450</v>
      </c>
      <c r="C25" s="221">
        <v>4</v>
      </c>
      <c r="D25" s="218">
        <f>IF(E$13=0,0,(ROUND(C25/E$13,0)))</f>
        <v>5</v>
      </c>
      <c r="E25" s="42">
        <f t="shared" si="5"/>
        <v>1.1111111111111112E-2</v>
      </c>
      <c r="F25" s="110" t="str">
        <f t="shared" si="0"/>
        <v>M</v>
      </c>
      <c r="G25" s="110">
        <f t="shared" si="1"/>
        <v>0</v>
      </c>
      <c r="H25" s="110">
        <f t="shared" si="2"/>
        <v>0</v>
      </c>
      <c r="I25" s="110">
        <f t="shared" si="3"/>
        <v>0</v>
      </c>
      <c r="J25" s="111">
        <f t="shared" si="4"/>
        <v>0</v>
      </c>
    </row>
    <row r="26" spans="1:15" s="62" customFormat="1" ht="26.1" customHeight="1">
      <c r="A26" s="209" t="s">
        <v>90</v>
      </c>
      <c r="B26" s="215">
        <v>68</v>
      </c>
      <c r="C26" s="221">
        <v>0</v>
      </c>
      <c r="D26" s="218">
        <f>IF(E$13=0,0,(ROUND(C26/E$13,0)))</f>
        <v>0</v>
      </c>
      <c r="E26" s="42">
        <f t="shared" si="5"/>
        <v>0</v>
      </c>
      <c r="F26" s="110" t="str">
        <f t="shared" si="0"/>
        <v>M</v>
      </c>
      <c r="G26" s="110">
        <f t="shared" si="1"/>
        <v>0</v>
      </c>
      <c r="H26" s="110">
        <f t="shared" si="2"/>
        <v>0</v>
      </c>
      <c r="I26" s="110">
        <f t="shared" si="3"/>
        <v>0</v>
      </c>
      <c r="J26" s="111">
        <f t="shared" si="4"/>
        <v>0</v>
      </c>
    </row>
    <row r="27" spans="1:15" s="62" customFormat="1" ht="26.1" customHeight="1">
      <c r="A27" s="210" t="s">
        <v>91</v>
      </c>
      <c r="B27" s="214">
        <v>0.15</v>
      </c>
      <c r="C27" s="213">
        <f>C26/C25</f>
        <v>0</v>
      </c>
      <c r="D27" s="220">
        <f>C27</f>
        <v>0</v>
      </c>
      <c r="E27" s="42">
        <f t="shared" si="5"/>
        <v>0</v>
      </c>
      <c r="F27" s="110" t="str">
        <f t="shared" si="0"/>
        <v>M</v>
      </c>
      <c r="G27" s="110">
        <f t="shared" si="1"/>
        <v>0</v>
      </c>
      <c r="H27" s="110">
        <f t="shared" si="2"/>
        <v>0</v>
      </c>
      <c r="I27" s="110">
        <f t="shared" si="3"/>
        <v>0</v>
      </c>
      <c r="J27" s="111">
        <f t="shared" si="4"/>
        <v>0</v>
      </c>
    </row>
    <row r="28" spans="1:15" s="62" customFormat="1" ht="26.1" customHeight="1">
      <c r="A28" s="209" t="s">
        <v>92</v>
      </c>
      <c r="B28" s="215">
        <f>ROUND(B29/B30,0)</f>
        <v>513</v>
      </c>
      <c r="C28" s="221">
        <v>560</v>
      </c>
      <c r="D28" s="218">
        <f>IF(E$13=0,0,(ROUND(C28/E$13,0)))</f>
        <v>693</v>
      </c>
      <c r="E28" s="42">
        <f t="shared" si="5"/>
        <v>1.3508771929824561</v>
      </c>
      <c r="F28" s="110">
        <f t="shared" si="0"/>
        <v>0</v>
      </c>
      <c r="G28" s="110">
        <f t="shared" si="1"/>
        <v>0</v>
      </c>
      <c r="H28" s="110">
        <f t="shared" si="2"/>
        <v>0</v>
      </c>
      <c r="I28" s="110">
        <f t="shared" si="3"/>
        <v>0</v>
      </c>
      <c r="J28" s="111" t="str">
        <f t="shared" si="4"/>
        <v>C</v>
      </c>
    </row>
    <row r="29" spans="1:15" s="62" customFormat="1" ht="26.1" customHeight="1">
      <c r="A29" s="209" t="s">
        <v>93</v>
      </c>
      <c r="B29" s="212">
        <f>145-B26</f>
        <v>77</v>
      </c>
      <c r="C29" s="221">
        <v>64</v>
      </c>
      <c r="D29" s="218">
        <f>IF(E$13=0,0,(ROUND(C29/E$13,0)))</f>
        <v>79</v>
      </c>
      <c r="E29" s="42">
        <f t="shared" si="5"/>
        <v>1.025974025974026</v>
      </c>
      <c r="F29" s="110">
        <f t="shared" si="0"/>
        <v>0</v>
      </c>
      <c r="G29" s="110">
        <f t="shared" si="1"/>
        <v>0</v>
      </c>
      <c r="H29" s="110">
        <f t="shared" si="2"/>
        <v>0</v>
      </c>
      <c r="I29" s="110" t="str">
        <f t="shared" si="3"/>
        <v>J</v>
      </c>
      <c r="J29" s="111">
        <f t="shared" si="4"/>
        <v>0</v>
      </c>
    </row>
    <row r="30" spans="1:15" s="62" customFormat="1" ht="26.1" customHeight="1">
      <c r="A30" s="210" t="s">
        <v>91</v>
      </c>
      <c r="B30" s="214">
        <v>0.15</v>
      </c>
      <c r="C30" s="213">
        <f>C29/C28</f>
        <v>0.11428571428571428</v>
      </c>
      <c r="D30" s="220">
        <f>C30</f>
        <v>0.11428571428571428</v>
      </c>
      <c r="E30" s="42">
        <f t="shared" si="5"/>
        <v>0.76190476190476186</v>
      </c>
      <c r="F30" s="110">
        <f t="shared" si="0"/>
        <v>0</v>
      </c>
      <c r="G30" s="110" t="str">
        <f t="shared" si="1"/>
        <v>D</v>
      </c>
      <c r="H30" s="110">
        <f t="shared" si="2"/>
        <v>0</v>
      </c>
      <c r="I30" s="110">
        <f t="shared" si="3"/>
        <v>0</v>
      </c>
      <c r="J30" s="111">
        <f t="shared" si="4"/>
        <v>0</v>
      </c>
    </row>
    <row r="31" spans="1:15" s="62" customFormat="1" ht="39.950000000000003" customHeight="1">
      <c r="A31" s="211" t="s">
        <v>95</v>
      </c>
      <c r="B31" s="215">
        <f>B26+B29</f>
        <v>145</v>
      </c>
      <c r="C31" s="215">
        <f>C26+C29</f>
        <v>64</v>
      </c>
      <c r="D31" s="218">
        <f>IF(E$13=0,0,(ROUND(C31/E$13,0)))</f>
        <v>79</v>
      </c>
      <c r="E31" s="42">
        <f t="shared" si="5"/>
        <v>0.54482758620689653</v>
      </c>
      <c r="F31" s="110" t="str">
        <f t="shared" si="0"/>
        <v>M</v>
      </c>
      <c r="G31" s="110">
        <f t="shared" si="1"/>
        <v>0</v>
      </c>
      <c r="H31" s="110">
        <f t="shared" si="2"/>
        <v>0</v>
      </c>
      <c r="I31" s="110">
        <f t="shared" si="3"/>
        <v>0</v>
      </c>
      <c r="J31" s="111">
        <f t="shared" si="4"/>
        <v>0</v>
      </c>
    </row>
    <row r="32" spans="1:15" s="38" customFormat="1" ht="26.1" customHeight="1">
      <c r="A32" s="216" t="s">
        <v>15</v>
      </c>
      <c r="B32" s="217">
        <f>B25+B28</f>
        <v>963</v>
      </c>
      <c r="C32" s="217">
        <f>C25+C28</f>
        <v>564</v>
      </c>
      <c r="D32" s="218">
        <f>IF(E$13=0,0,(ROUND(C32/E$13,0)))</f>
        <v>698</v>
      </c>
      <c r="E32" s="42">
        <f t="shared" si="5"/>
        <v>0.72481827622014539</v>
      </c>
      <c r="F32" s="110" t="str">
        <f t="shared" si="0"/>
        <v>M</v>
      </c>
      <c r="G32" s="110">
        <f t="shared" si="1"/>
        <v>0</v>
      </c>
      <c r="H32" s="110">
        <f t="shared" si="2"/>
        <v>0</v>
      </c>
      <c r="I32" s="110">
        <f t="shared" si="3"/>
        <v>0</v>
      </c>
      <c r="J32" s="111">
        <f t="shared" si="4"/>
        <v>0</v>
      </c>
    </row>
    <row r="33" spans="1:15" s="38" customFormat="1" ht="26.1" customHeight="1">
      <c r="A33" s="210" t="s">
        <v>16</v>
      </c>
      <c r="B33" s="219">
        <f>B31/B32</f>
        <v>0.1505711318795431</v>
      </c>
      <c r="C33" s="219">
        <f>C31/C32</f>
        <v>0.11347517730496454</v>
      </c>
      <c r="D33" s="220">
        <f>C33</f>
        <v>0.11347517730496454</v>
      </c>
      <c r="E33" s="42">
        <f t="shared" si="5"/>
        <v>0.75363169479090242</v>
      </c>
      <c r="F33" s="110">
        <f t="shared" si="0"/>
        <v>0</v>
      </c>
      <c r="G33" s="110" t="str">
        <f t="shared" si="1"/>
        <v>D</v>
      </c>
      <c r="H33" s="110">
        <f t="shared" si="2"/>
        <v>0</v>
      </c>
      <c r="I33" s="110">
        <f t="shared" si="3"/>
        <v>0</v>
      </c>
      <c r="J33" s="111">
        <f t="shared" si="4"/>
        <v>0</v>
      </c>
    </row>
    <row r="34" spans="1:15" s="38" customFormat="1" ht="26.1" customHeight="1">
      <c r="A34" s="63" t="s">
        <v>17</v>
      </c>
      <c r="B34" s="64">
        <f>B16*3</f>
        <v>300</v>
      </c>
      <c r="C34" s="5">
        <v>389</v>
      </c>
      <c r="D34" s="65">
        <f>C34</f>
        <v>389</v>
      </c>
      <c r="E34" s="66"/>
      <c r="F34" s="67"/>
      <c r="G34" s="67"/>
      <c r="H34" s="67"/>
      <c r="I34" s="67"/>
      <c r="J34" s="68"/>
    </row>
    <row r="35" spans="1:15" s="38" customFormat="1" ht="26.1" customHeight="1">
      <c r="A35" s="69" t="s">
        <v>18</v>
      </c>
      <c r="B35" s="70">
        <f>IF(B16=0,0,(B34/B16*30))</f>
        <v>90</v>
      </c>
      <c r="C35" s="70">
        <f>IF(B16=0,0,(C34/B16*30))</f>
        <v>116.7</v>
      </c>
      <c r="D35" s="71">
        <f>C35</f>
        <v>116.7</v>
      </c>
      <c r="E35" s="66">
        <f>IF(D35=0,0,(B35/D35))</f>
        <v>0.77120822622107965</v>
      </c>
      <c r="F35" s="67">
        <f>IF((E35)&lt;0.75,P$179,0)</f>
        <v>0</v>
      </c>
      <c r="G35" s="67" t="str">
        <f>IF(AND((E35)&gt;=0.75,(E35)&lt;0.875),L$179,0)</f>
        <v>D</v>
      </c>
      <c r="H35" s="67">
        <f>IF(AND((E35)&gt;=0.875,(E35)&lt;0.95),N$178,0)</f>
        <v>0</v>
      </c>
      <c r="I35" s="67">
        <f>IF(AND((E35)&gt;=0.95,(E35)&lt;1.05),L$178,0)</f>
        <v>0</v>
      </c>
      <c r="J35" s="68">
        <f>IF((E35)&gt;=1.05,M$179,0)</f>
        <v>0</v>
      </c>
    </row>
    <row r="36" spans="1:15" s="38" customFormat="1" ht="26.1" customHeight="1">
      <c r="A36" s="69" t="s">
        <v>19</v>
      </c>
      <c r="B36" s="70">
        <f>B35</f>
        <v>90</v>
      </c>
      <c r="C36" s="70">
        <f>IF(D23=0,0,(C34/D23*30))</f>
        <v>147.72151898734177</v>
      </c>
      <c r="D36" s="71">
        <f>C36</f>
        <v>147.72151898734177</v>
      </c>
      <c r="E36" s="66">
        <f>IF(D36=0,0,(B36/D36))</f>
        <v>0.60925449871465298</v>
      </c>
      <c r="F36" s="67" t="str">
        <f>IF((E36)&lt;0.75,P$179,0)</f>
        <v>M</v>
      </c>
      <c r="G36" s="67">
        <f>IF(AND((E36)&gt;=0.75,(E36)&lt;0.875),L$179,0)</f>
        <v>0</v>
      </c>
      <c r="H36" s="67">
        <f>IF(AND((E36)&gt;=0.875,(E36)&lt;0.95),N$178,0)</f>
        <v>0</v>
      </c>
      <c r="I36" s="67">
        <f>IF(AND((E36)&gt;=0.95,(E36)&lt;1.05),L$178,0)</f>
        <v>0</v>
      </c>
      <c r="J36" s="68">
        <f>IF((E36)&gt;=1.05,M$179,0)</f>
        <v>0</v>
      </c>
    </row>
    <row r="37" spans="1:15" s="38" customFormat="1" ht="26.1" customHeight="1">
      <c r="A37" s="72" t="s">
        <v>21</v>
      </c>
      <c r="B37" s="73">
        <f>0.1*B34</f>
        <v>30</v>
      </c>
      <c r="C37" s="6">
        <v>122</v>
      </c>
      <c r="D37" s="74">
        <f>C37</f>
        <v>122</v>
      </c>
      <c r="E37" s="75">
        <f>IF(D37=0,0,(B37/D37))</f>
        <v>0.24590163934426229</v>
      </c>
      <c r="F37" s="76" t="str">
        <f>IF((E37)&lt;0.75,P$179,0)</f>
        <v>M</v>
      </c>
      <c r="G37" s="76">
        <f>IF(AND((E37)&gt;=0.75,(E37)&lt;0.875),L$179,0)</f>
        <v>0</v>
      </c>
      <c r="H37" s="76">
        <f>IF(AND((E37)&gt;=0.875,(E37)&lt;0.95),N$178,0)</f>
        <v>0</v>
      </c>
      <c r="I37" s="76">
        <f>IF(AND((E37)&gt;=0.95,(E37)&lt;1.05),L$178,0)</f>
        <v>0</v>
      </c>
      <c r="J37" s="77">
        <f>IF((E37)&gt;=1.05,M$179,0)</f>
        <v>0</v>
      </c>
    </row>
    <row r="38" spans="1:15" ht="5.0999999999999996" customHeight="1" thickBot="1">
      <c r="A38" s="78"/>
      <c r="B38" s="79"/>
      <c r="C38" s="80"/>
      <c r="D38" s="81"/>
      <c r="E38" s="82"/>
      <c r="F38" s="83"/>
      <c r="G38" s="83"/>
      <c r="H38" s="83"/>
      <c r="I38" s="83"/>
      <c r="J38" s="84"/>
    </row>
    <row r="39" spans="1:15" ht="8.1" customHeight="1" thickTop="1" thickBot="1">
      <c r="A39" s="85"/>
      <c r="B39" s="86"/>
      <c r="C39" s="87"/>
      <c r="D39" s="88"/>
      <c r="E39" s="89"/>
      <c r="F39" s="90"/>
      <c r="G39" s="90"/>
      <c r="H39" s="90"/>
      <c r="I39" s="90"/>
      <c r="J39" s="91"/>
    </row>
    <row r="40" spans="1:15" ht="20.100000000000001" customHeight="1" thickTop="1">
      <c r="A40" s="295" t="s">
        <v>29</v>
      </c>
      <c r="B40" s="297">
        <v>115</v>
      </c>
      <c r="C40" s="300">
        <v>62</v>
      </c>
      <c r="D40" s="303"/>
      <c r="E40" s="278"/>
      <c r="F40" s="280"/>
      <c r="G40" s="281"/>
      <c r="H40" s="281"/>
      <c r="I40" s="281"/>
      <c r="J40" s="282"/>
    </row>
    <row r="41" spans="1:15" ht="5.0999999999999996" customHeight="1">
      <c r="A41" s="296"/>
      <c r="B41" s="298"/>
      <c r="C41" s="301"/>
      <c r="D41" s="304"/>
      <c r="E41" s="279"/>
      <c r="F41" s="283"/>
      <c r="G41" s="284"/>
      <c r="H41" s="284"/>
      <c r="I41" s="284"/>
      <c r="J41" s="285"/>
    </row>
    <row r="42" spans="1:15" s="38" customFormat="1" ht="21.75" customHeight="1">
      <c r="A42" s="35" t="s">
        <v>73</v>
      </c>
      <c r="B42" s="299"/>
      <c r="C42" s="302"/>
      <c r="D42" s="36"/>
      <c r="E42" s="37"/>
      <c r="F42" s="286"/>
      <c r="G42" s="287"/>
      <c r="H42" s="287"/>
      <c r="I42" s="287"/>
      <c r="J42" s="288"/>
    </row>
    <row r="43" spans="1:15" s="38" customFormat="1" ht="26.1" customHeight="1">
      <c r="A43" s="39" t="s">
        <v>74</v>
      </c>
      <c r="B43" s="40">
        <v>2000</v>
      </c>
      <c r="C43" s="4">
        <v>2223.69</v>
      </c>
      <c r="D43" s="41">
        <f>C43</f>
        <v>2223.69</v>
      </c>
      <c r="E43" s="42">
        <f>IF(B43=0,0,(D43/B43))</f>
        <v>1.111845</v>
      </c>
      <c r="F43" s="43">
        <f>IF((E43)&lt;0.75,P$179,0)</f>
        <v>0</v>
      </c>
      <c r="G43" s="43">
        <f>IF(AND((E43)&gt;=0.75,(E43)&lt;0.875),L$179,0)</f>
        <v>0</v>
      </c>
      <c r="H43" s="43">
        <f>IF(AND((E43)&gt;=0.875,(E43)&lt;0.95),N$178,0)</f>
        <v>0</v>
      </c>
      <c r="I43" s="43">
        <f>IF(AND((E43)&gt;=0.95,(E43)&lt;1.05),L$178,0)</f>
        <v>0</v>
      </c>
      <c r="J43" s="44" t="str">
        <f>IF((E43)&gt;=1.05,M$179,0)</f>
        <v>C</v>
      </c>
      <c r="M43" s="45"/>
      <c r="N43" s="45"/>
      <c r="O43" s="45"/>
    </row>
    <row r="44" spans="1:15" s="47" customFormat="1" ht="18" customHeight="1">
      <c r="A44" s="46" t="s">
        <v>23</v>
      </c>
      <c r="B44" s="305"/>
      <c r="C44" s="3">
        <v>0</v>
      </c>
      <c r="D44" s="307"/>
      <c r="E44" s="270"/>
      <c r="F44" s="272"/>
      <c r="G44" s="273"/>
      <c r="H44" s="273"/>
      <c r="I44" s="273"/>
      <c r="J44" s="274"/>
    </row>
    <row r="45" spans="1:15" s="47" customFormat="1" ht="18" customHeight="1">
      <c r="A45" s="48" t="s">
        <v>24</v>
      </c>
      <c r="B45" s="305"/>
      <c r="C45" s="2">
        <v>9</v>
      </c>
      <c r="D45" s="307"/>
      <c r="E45" s="270"/>
      <c r="F45" s="272"/>
      <c r="G45" s="273"/>
      <c r="H45" s="273"/>
      <c r="I45" s="273"/>
      <c r="J45" s="274"/>
    </row>
    <row r="46" spans="1:15" s="47" customFormat="1" ht="18" customHeight="1">
      <c r="A46" s="49" t="s">
        <v>13</v>
      </c>
      <c r="B46" s="305"/>
      <c r="C46" s="1">
        <v>0.9</v>
      </c>
      <c r="D46" s="308"/>
      <c r="E46" s="271"/>
      <c r="F46" s="275"/>
      <c r="G46" s="276"/>
      <c r="H46" s="276"/>
      <c r="I46" s="276"/>
      <c r="J46" s="277"/>
    </row>
    <row r="47" spans="1:15" s="47" customFormat="1" ht="26.1" customHeight="1">
      <c r="A47" s="50" t="s">
        <v>14</v>
      </c>
      <c r="B47" s="306"/>
      <c r="C47" s="51">
        <f>IF(((C45*C46)=0),0,(C40+C44+(ROUND(C45*C46,0))))</f>
        <v>70</v>
      </c>
      <c r="D47" s="52">
        <f>IF(E$13=0,0,(ROUND(C47/E$13,0)))</f>
        <v>87</v>
      </c>
      <c r="E47" s="53">
        <f>IF(B40=0,0,(D47/B40))</f>
        <v>0.75652173913043474</v>
      </c>
      <c r="F47" s="54">
        <f t="shared" ref="F47:F57" si="6">IF((E47)&lt;0.75,P$179,0)</f>
        <v>0</v>
      </c>
      <c r="G47" s="55" t="str">
        <f t="shared" ref="G47:G57" si="7">IF(AND((E47)&gt;=0.75,(E47)&lt;0.875),L$179,0)</f>
        <v>D</v>
      </c>
      <c r="H47" s="55">
        <f t="shared" ref="H47:H57" si="8">IF(AND((E47)&gt;=0.875,(E47)&lt;0.95),N$178,0)</f>
        <v>0</v>
      </c>
      <c r="I47" s="55">
        <f t="shared" ref="I47:I57" si="9">IF(AND((E47)&gt;=0.95,(E47)&lt;1.05),L$178,0)</f>
        <v>0</v>
      </c>
      <c r="J47" s="56">
        <f t="shared" ref="J47:J57" si="10">IF((E47)&gt;=1.05,M$179,0)</f>
        <v>0</v>
      </c>
    </row>
    <row r="48" spans="1:15" s="62" customFormat="1" ht="26.1" customHeight="1">
      <c r="A48" s="57" t="s">
        <v>75</v>
      </c>
      <c r="B48" s="58">
        <f>(B40+B44)*B43</f>
        <v>230000</v>
      </c>
      <c r="C48" s="58">
        <f>C47*C43</f>
        <v>155658.30000000002</v>
      </c>
      <c r="D48" s="58">
        <f>D47*D43</f>
        <v>193461.03</v>
      </c>
      <c r="E48" s="59">
        <f t="shared" ref="E48:E57" si="11">IF(B48=0,0,(D48/B48))</f>
        <v>0.84113491304347821</v>
      </c>
      <c r="F48" s="60">
        <f t="shared" si="6"/>
        <v>0</v>
      </c>
      <c r="G48" s="60" t="str">
        <f t="shared" si="7"/>
        <v>D</v>
      </c>
      <c r="H48" s="60">
        <f t="shared" si="8"/>
        <v>0</v>
      </c>
      <c r="I48" s="60">
        <f t="shared" si="9"/>
        <v>0</v>
      </c>
      <c r="J48" s="61">
        <f t="shared" si="10"/>
        <v>0</v>
      </c>
    </row>
    <row r="49" spans="1:10" s="62" customFormat="1" ht="26.1" customHeight="1">
      <c r="A49" s="208" t="s">
        <v>89</v>
      </c>
      <c r="B49" s="212">
        <v>400</v>
      </c>
      <c r="C49" s="221">
        <v>4</v>
      </c>
      <c r="D49" s="218">
        <f>IF(E$13=0,0,(ROUND(C49/E$13,0)))</f>
        <v>5</v>
      </c>
      <c r="E49" s="42">
        <f t="shared" si="11"/>
        <v>1.2500000000000001E-2</v>
      </c>
      <c r="F49" s="110" t="str">
        <f t="shared" si="6"/>
        <v>M</v>
      </c>
      <c r="G49" s="110">
        <f t="shared" si="7"/>
        <v>0</v>
      </c>
      <c r="H49" s="110">
        <f t="shared" si="8"/>
        <v>0</v>
      </c>
      <c r="I49" s="110">
        <f t="shared" si="9"/>
        <v>0</v>
      </c>
      <c r="J49" s="111">
        <f t="shared" si="10"/>
        <v>0</v>
      </c>
    </row>
    <row r="50" spans="1:10" s="62" customFormat="1" ht="26.1" customHeight="1">
      <c r="A50" s="209" t="s">
        <v>90</v>
      </c>
      <c r="B50" s="215">
        <f>ROUND(B49*B51,0)</f>
        <v>60</v>
      </c>
      <c r="C50" s="221">
        <v>0</v>
      </c>
      <c r="D50" s="218">
        <f>IF(E$13=0,0,(ROUND(C50/E$13,0)))</f>
        <v>0</v>
      </c>
      <c r="E50" s="42">
        <f t="shared" si="11"/>
        <v>0</v>
      </c>
      <c r="F50" s="110" t="str">
        <f t="shared" si="6"/>
        <v>M</v>
      </c>
      <c r="G50" s="110">
        <f t="shared" si="7"/>
        <v>0</v>
      </c>
      <c r="H50" s="110">
        <f t="shared" si="8"/>
        <v>0</v>
      </c>
      <c r="I50" s="110">
        <f t="shared" si="9"/>
        <v>0</v>
      </c>
      <c r="J50" s="111">
        <f t="shared" si="10"/>
        <v>0</v>
      </c>
    </row>
    <row r="51" spans="1:10" s="62" customFormat="1" ht="26.1" customHeight="1">
      <c r="A51" s="210" t="s">
        <v>91</v>
      </c>
      <c r="B51" s="214">
        <v>0.15</v>
      </c>
      <c r="C51" s="213">
        <f>C50/C49</f>
        <v>0</v>
      </c>
      <c r="D51" s="220">
        <f>C51</f>
        <v>0</v>
      </c>
      <c r="E51" s="42">
        <f t="shared" si="11"/>
        <v>0</v>
      </c>
      <c r="F51" s="110" t="str">
        <f t="shared" si="6"/>
        <v>M</v>
      </c>
      <c r="G51" s="110">
        <f t="shared" si="7"/>
        <v>0</v>
      </c>
      <c r="H51" s="110">
        <f t="shared" si="8"/>
        <v>0</v>
      </c>
      <c r="I51" s="110">
        <f t="shared" si="9"/>
        <v>0</v>
      </c>
      <c r="J51" s="111">
        <f t="shared" si="10"/>
        <v>0</v>
      </c>
    </row>
    <row r="52" spans="1:10" s="62" customFormat="1" ht="26.1" customHeight="1">
      <c r="A52" s="209" t="s">
        <v>92</v>
      </c>
      <c r="B52" s="215">
        <f>ROUND(B53/B54,0)</f>
        <v>314</v>
      </c>
      <c r="C52" s="221">
        <v>334</v>
      </c>
      <c r="D52" s="218">
        <f>IF(E$13=0,0,(ROUND(C52/E$13,0)))</f>
        <v>414</v>
      </c>
      <c r="E52" s="42">
        <f t="shared" si="11"/>
        <v>1.3184713375796178</v>
      </c>
      <c r="F52" s="110">
        <f t="shared" si="6"/>
        <v>0</v>
      </c>
      <c r="G52" s="110">
        <f t="shared" si="7"/>
        <v>0</v>
      </c>
      <c r="H52" s="110">
        <f t="shared" si="8"/>
        <v>0</v>
      </c>
      <c r="I52" s="110">
        <f t="shared" si="9"/>
        <v>0</v>
      </c>
      <c r="J52" s="111" t="str">
        <f t="shared" si="10"/>
        <v>C</v>
      </c>
    </row>
    <row r="53" spans="1:10" s="62" customFormat="1" ht="26.1" customHeight="1">
      <c r="A53" s="209" t="s">
        <v>93</v>
      </c>
      <c r="B53" s="212">
        <v>55</v>
      </c>
      <c r="C53" s="221">
        <v>70</v>
      </c>
      <c r="D53" s="218">
        <f>IF(E$13=0,0,(ROUND(C53/E$13,0)))</f>
        <v>87</v>
      </c>
      <c r="E53" s="42">
        <f t="shared" si="11"/>
        <v>1.5818181818181818</v>
      </c>
      <c r="F53" s="110">
        <f t="shared" si="6"/>
        <v>0</v>
      </c>
      <c r="G53" s="110">
        <f t="shared" si="7"/>
        <v>0</v>
      </c>
      <c r="H53" s="110">
        <f t="shared" si="8"/>
        <v>0</v>
      </c>
      <c r="I53" s="110">
        <f t="shared" si="9"/>
        <v>0</v>
      </c>
      <c r="J53" s="111" t="str">
        <f t="shared" si="10"/>
        <v>C</v>
      </c>
    </row>
    <row r="54" spans="1:10" s="62" customFormat="1" ht="26.1" customHeight="1">
      <c r="A54" s="210" t="s">
        <v>91</v>
      </c>
      <c r="B54" s="214">
        <v>0.17499999999999999</v>
      </c>
      <c r="C54" s="213">
        <f>C53/C52</f>
        <v>0.20958083832335328</v>
      </c>
      <c r="D54" s="220">
        <f>C54</f>
        <v>0.20958083832335328</v>
      </c>
      <c r="E54" s="42">
        <f t="shared" si="11"/>
        <v>1.1976047904191616</v>
      </c>
      <c r="F54" s="110">
        <f t="shared" si="6"/>
        <v>0</v>
      </c>
      <c r="G54" s="110">
        <f t="shared" si="7"/>
        <v>0</v>
      </c>
      <c r="H54" s="110">
        <f t="shared" si="8"/>
        <v>0</v>
      </c>
      <c r="I54" s="110">
        <f t="shared" si="9"/>
        <v>0</v>
      </c>
      <c r="J54" s="111" t="str">
        <f t="shared" si="10"/>
        <v>C</v>
      </c>
    </row>
    <row r="55" spans="1:10" s="62" customFormat="1" ht="39.950000000000003" customHeight="1">
      <c r="A55" s="211" t="s">
        <v>94</v>
      </c>
      <c r="B55" s="215">
        <f>B50+B53</f>
        <v>115</v>
      </c>
      <c r="C55" s="215">
        <f>C50+C53</f>
        <v>70</v>
      </c>
      <c r="D55" s="218">
        <f>IF(E$13=0,0,(ROUND(C55/E$13,0)))</f>
        <v>87</v>
      </c>
      <c r="E55" s="42">
        <f t="shared" si="11"/>
        <v>0.75652173913043474</v>
      </c>
      <c r="F55" s="110">
        <f t="shared" si="6"/>
        <v>0</v>
      </c>
      <c r="G55" s="110" t="str">
        <f t="shared" si="7"/>
        <v>D</v>
      </c>
      <c r="H55" s="110">
        <f t="shared" si="8"/>
        <v>0</v>
      </c>
      <c r="I55" s="110">
        <f t="shared" si="9"/>
        <v>0</v>
      </c>
      <c r="J55" s="111">
        <f t="shared" si="10"/>
        <v>0</v>
      </c>
    </row>
    <row r="56" spans="1:10" s="38" customFormat="1" ht="26.1" customHeight="1">
      <c r="A56" s="216" t="s">
        <v>15</v>
      </c>
      <c r="B56" s="217">
        <f>B49+B52</f>
        <v>714</v>
      </c>
      <c r="C56" s="217">
        <f>C49+C52</f>
        <v>338</v>
      </c>
      <c r="D56" s="218">
        <f>IF(E$13=0,0,(ROUND(C56/E$13,0)))</f>
        <v>418</v>
      </c>
      <c r="E56" s="42">
        <f t="shared" si="11"/>
        <v>0.58543417366946782</v>
      </c>
      <c r="F56" s="110" t="str">
        <f t="shared" si="6"/>
        <v>M</v>
      </c>
      <c r="G56" s="110">
        <f t="shared" si="7"/>
        <v>0</v>
      </c>
      <c r="H56" s="110">
        <f t="shared" si="8"/>
        <v>0</v>
      </c>
      <c r="I56" s="110">
        <f t="shared" si="9"/>
        <v>0</v>
      </c>
      <c r="J56" s="111">
        <f t="shared" si="10"/>
        <v>0</v>
      </c>
    </row>
    <row r="57" spans="1:10" s="38" customFormat="1" ht="26.1" customHeight="1">
      <c r="A57" s="210" t="s">
        <v>16</v>
      </c>
      <c r="B57" s="219">
        <f>B55/B56</f>
        <v>0.16106442577030813</v>
      </c>
      <c r="C57" s="219">
        <f>C55/C56</f>
        <v>0.20710059171597633</v>
      </c>
      <c r="D57" s="220">
        <f>C57</f>
        <v>0.20710059171597633</v>
      </c>
      <c r="E57" s="42">
        <f t="shared" si="11"/>
        <v>1.2858245433496269</v>
      </c>
      <c r="F57" s="110">
        <f t="shared" si="6"/>
        <v>0</v>
      </c>
      <c r="G57" s="110">
        <f t="shared" si="7"/>
        <v>0</v>
      </c>
      <c r="H57" s="110">
        <f t="shared" si="8"/>
        <v>0</v>
      </c>
      <c r="I57" s="110">
        <f t="shared" si="9"/>
        <v>0</v>
      </c>
      <c r="J57" s="111" t="str">
        <f t="shared" si="10"/>
        <v>C</v>
      </c>
    </row>
    <row r="58" spans="1:10" s="38" customFormat="1" ht="26.1" customHeight="1">
      <c r="A58" s="63" t="s">
        <v>17</v>
      </c>
      <c r="B58" s="64">
        <f>ROUND(B40/30*40,0)</f>
        <v>153</v>
      </c>
      <c r="C58" s="5">
        <v>106</v>
      </c>
      <c r="D58" s="65">
        <f>C58</f>
        <v>106</v>
      </c>
      <c r="E58" s="66"/>
      <c r="F58" s="67"/>
      <c r="G58" s="67"/>
      <c r="H58" s="67"/>
      <c r="I58" s="67"/>
      <c r="J58" s="68"/>
    </row>
    <row r="59" spans="1:10" s="38" customFormat="1" ht="26.1" customHeight="1">
      <c r="A59" s="69" t="s">
        <v>18</v>
      </c>
      <c r="B59" s="70">
        <f>ROUND(IF(B40=0,0,(B58/B40*30)),0)</f>
        <v>40</v>
      </c>
      <c r="C59" s="70">
        <f>IF(B40=0,0,(C58/B40*30))</f>
        <v>27.652173913043477</v>
      </c>
      <c r="D59" s="71">
        <f>C59</f>
        <v>27.652173913043477</v>
      </c>
      <c r="E59" s="66">
        <f>IF(D59=0,0,(B59/D59))</f>
        <v>1.4465408805031448</v>
      </c>
      <c r="F59" s="67">
        <f>IF((E59)&lt;0.75,P$179,0)</f>
        <v>0</v>
      </c>
      <c r="G59" s="67">
        <f>IF(AND((E59)&gt;=0.75,(E59)&lt;0.875),L$179,0)</f>
        <v>0</v>
      </c>
      <c r="H59" s="67">
        <f>IF(AND((E59)&gt;=0.875,(E59)&lt;0.95),N$178,0)</f>
        <v>0</v>
      </c>
      <c r="I59" s="67">
        <f>IF(AND((E59)&gt;=0.95,(E59)&lt;1.05),L$178,0)</f>
        <v>0</v>
      </c>
      <c r="J59" s="68" t="str">
        <f>IF((E59)&gt;=1.05,M$179,0)</f>
        <v>C</v>
      </c>
    </row>
    <row r="60" spans="1:10" s="38" customFormat="1" ht="26.1" customHeight="1">
      <c r="A60" s="69" t="s">
        <v>19</v>
      </c>
      <c r="B60" s="70">
        <f>B59</f>
        <v>40</v>
      </c>
      <c r="C60" s="70">
        <f>IF(D47=0,0,(C58/D47*30))</f>
        <v>36.551724137931039</v>
      </c>
      <c r="D60" s="71">
        <f>C60</f>
        <v>36.551724137931039</v>
      </c>
      <c r="E60" s="66">
        <f>IF(D60=0,0,(B60/D60))</f>
        <v>1.0943396226415092</v>
      </c>
      <c r="F60" s="67">
        <f>IF((E60)&lt;0.75,P$179,0)</f>
        <v>0</v>
      </c>
      <c r="G60" s="67">
        <f>IF(AND((E60)&gt;=0.75,(E60)&lt;0.875),L$179,0)</f>
        <v>0</v>
      </c>
      <c r="H60" s="67">
        <f>IF(AND((E60)&gt;=0.875,(E60)&lt;0.95),N$178,0)</f>
        <v>0</v>
      </c>
      <c r="I60" s="67">
        <f>IF(AND((E60)&gt;=0.95,(E60)&lt;1.05),L$178,0)</f>
        <v>0</v>
      </c>
      <c r="J60" s="68" t="str">
        <f>IF((E60)&gt;=1.05,M$179,0)</f>
        <v>C</v>
      </c>
    </row>
    <row r="61" spans="1:10" s="38" customFormat="1" ht="26.1" customHeight="1">
      <c r="A61" s="72" t="s">
        <v>69</v>
      </c>
      <c r="B61" s="73">
        <f>ROUND(0.025*B58,0)</f>
        <v>4</v>
      </c>
      <c r="C61" s="6">
        <v>3</v>
      </c>
      <c r="D61" s="74">
        <f>C61</f>
        <v>3</v>
      </c>
      <c r="E61" s="75">
        <f>IF(D61=0,0,(B61/D61))</f>
        <v>1.3333333333333333</v>
      </c>
      <c r="F61" s="76">
        <f>IF((E61)&lt;0.75,P$179,0)</f>
        <v>0</v>
      </c>
      <c r="G61" s="76">
        <f>IF(AND((E61)&gt;=0.75,(E61)&lt;0.875),L$179,0)</f>
        <v>0</v>
      </c>
      <c r="H61" s="76">
        <f>IF(AND((E61)&gt;=0.875,(E61)&lt;0.95),N$178,0)</f>
        <v>0</v>
      </c>
      <c r="I61" s="76">
        <f>IF(AND((E61)&gt;=0.95,(E61)&lt;1.05),L$178,0)</f>
        <v>0</v>
      </c>
      <c r="J61" s="77" t="str">
        <f>IF((E61)&gt;=1.05,M$179,0)</f>
        <v>C</v>
      </c>
    </row>
    <row r="62" spans="1:10" ht="5.0999999999999996" customHeight="1" thickBot="1">
      <c r="A62" s="78"/>
      <c r="B62" s="79"/>
      <c r="C62" s="80"/>
      <c r="D62" s="81"/>
      <c r="E62" s="82"/>
      <c r="F62" s="83"/>
      <c r="G62" s="83"/>
      <c r="H62" s="83"/>
      <c r="I62" s="83"/>
      <c r="J62" s="84"/>
    </row>
    <row r="63" spans="1:10" ht="8.1" customHeight="1" thickTop="1">
      <c r="A63" s="92"/>
      <c r="B63" s="93"/>
      <c r="C63" s="94"/>
      <c r="D63" s="95"/>
      <c r="E63" s="96"/>
      <c r="F63" s="97"/>
      <c r="G63" s="97"/>
      <c r="H63" s="97"/>
      <c r="I63" s="97"/>
      <c r="J63" s="98"/>
    </row>
    <row r="64" spans="1:10" s="38" customFormat="1" ht="20.100000000000001" customHeight="1">
      <c r="A64" s="99" t="s">
        <v>76</v>
      </c>
      <c r="B64" s="242"/>
      <c r="C64" s="242"/>
      <c r="D64" s="242"/>
      <c r="E64" s="242"/>
      <c r="F64" s="289"/>
      <c r="G64" s="290"/>
      <c r="H64" s="290"/>
      <c r="I64" s="290"/>
      <c r="J64" s="291"/>
    </row>
    <row r="65" spans="1:10" s="38" customFormat="1" ht="5.0999999999999996" customHeight="1">
      <c r="A65" s="100"/>
      <c r="B65" s="243"/>
      <c r="C65" s="243"/>
      <c r="D65" s="243"/>
      <c r="E65" s="243"/>
      <c r="F65" s="292"/>
      <c r="G65" s="293"/>
      <c r="H65" s="293"/>
      <c r="I65" s="293"/>
      <c r="J65" s="294"/>
    </row>
    <row r="66" spans="1:10" s="38" customFormat="1" ht="21.75" customHeight="1">
      <c r="A66" s="101" t="s">
        <v>31</v>
      </c>
      <c r="B66" s="102">
        <v>1100</v>
      </c>
      <c r="C66" s="7">
        <v>1369</v>
      </c>
      <c r="D66" s="41">
        <f>C66</f>
        <v>1369</v>
      </c>
      <c r="E66" s="42">
        <f>IF(B66=0,0,(D66/B66))</f>
        <v>1.2445454545454546</v>
      </c>
      <c r="F66" s="43">
        <f t="shared" ref="F66:F74" si="12">IF((E66)&lt;0.75,P$179,0)</f>
        <v>0</v>
      </c>
      <c r="G66" s="43">
        <f t="shared" ref="G66:G74" si="13">IF(AND((E66)&gt;=0.75,(E66)&lt;0.875),L$179,0)</f>
        <v>0</v>
      </c>
      <c r="H66" s="43">
        <f t="shared" ref="H66:H74" si="14">IF(AND((E66)&gt;=0.875,(E66)&lt;0.95),N$178,0)</f>
        <v>0</v>
      </c>
      <c r="I66" s="43">
        <f t="shared" ref="I66:I74" si="15">IF(AND((E66)&gt;=0.95,(E66)&lt;1.05),L$178,0)</f>
        <v>0</v>
      </c>
      <c r="J66" s="44" t="str">
        <f t="shared" ref="J66:J74" si="16">IF((E66)&gt;=1.05,M$179,0)</f>
        <v>C</v>
      </c>
    </row>
    <row r="67" spans="1:10" s="62" customFormat="1" ht="21.75" customHeight="1">
      <c r="A67" s="103" t="s">
        <v>30</v>
      </c>
      <c r="B67" s="104">
        <f>B16*B66</f>
        <v>110000</v>
      </c>
      <c r="C67" s="104">
        <f>C23*C66</f>
        <v>87616</v>
      </c>
      <c r="D67" s="105">
        <f>D66*D23</f>
        <v>108151</v>
      </c>
      <c r="E67" s="106">
        <f>IF(B67=0,0,(D67/B67))</f>
        <v>0.98319090909090912</v>
      </c>
      <c r="F67" s="107">
        <f t="shared" si="12"/>
        <v>0</v>
      </c>
      <c r="G67" s="107">
        <f t="shared" si="13"/>
        <v>0</v>
      </c>
      <c r="H67" s="107">
        <f t="shared" si="14"/>
        <v>0</v>
      </c>
      <c r="I67" s="107" t="str">
        <f t="shared" si="15"/>
        <v>J</v>
      </c>
      <c r="J67" s="108">
        <f t="shared" si="16"/>
        <v>0</v>
      </c>
    </row>
    <row r="68" spans="1:10" s="38" customFormat="1" ht="21.75" customHeight="1">
      <c r="A68" s="101" t="s">
        <v>32</v>
      </c>
      <c r="B68" s="102">
        <v>1000</v>
      </c>
      <c r="C68" s="7">
        <v>1206</v>
      </c>
      <c r="D68" s="41">
        <f>C68</f>
        <v>1206</v>
      </c>
      <c r="E68" s="42">
        <f>IF(B68=0,0,(D68/B68))</f>
        <v>1.206</v>
      </c>
      <c r="F68" s="43">
        <f t="shared" si="12"/>
        <v>0</v>
      </c>
      <c r="G68" s="43">
        <f t="shared" si="13"/>
        <v>0</v>
      </c>
      <c r="H68" s="43">
        <f t="shared" si="14"/>
        <v>0</v>
      </c>
      <c r="I68" s="43">
        <f t="shared" si="15"/>
        <v>0</v>
      </c>
      <c r="J68" s="44" t="str">
        <f t="shared" si="16"/>
        <v>C</v>
      </c>
    </row>
    <row r="69" spans="1:10" s="62" customFormat="1" ht="21.75" customHeight="1">
      <c r="A69" s="103" t="s">
        <v>33</v>
      </c>
      <c r="B69" s="104">
        <f>B68*B40</f>
        <v>115000</v>
      </c>
      <c r="C69" s="104">
        <f>C68*C47</f>
        <v>84420</v>
      </c>
      <c r="D69" s="105">
        <f>D68*D47</f>
        <v>104922</v>
      </c>
      <c r="E69" s="106">
        <f>IF(B69=0,0,(D69/B69))</f>
        <v>0.91236521739130438</v>
      </c>
      <c r="F69" s="107">
        <f t="shared" si="12"/>
        <v>0</v>
      </c>
      <c r="G69" s="107">
        <f t="shared" si="13"/>
        <v>0</v>
      </c>
      <c r="H69" s="107" t="str">
        <f t="shared" si="14"/>
        <v>L</v>
      </c>
      <c r="I69" s="107">
        <f t="shared" si="15"/>
        <v>0</v>
      </c>
      <c r="J69" s="108">
        <f t="shared" si="16"/>
        <v>0</v>
      </c>
    </row>
    <row r="70" spans="1:10" s="62" customFormat="1" ht="21.75" customHeight="1">
      <c r="A70" s="109" t="s">
        <v>34</v>
      </c>
      <c r="B70" s="102">
        <v>10000</v>
      </c>
      <c r="C70" s="7">
        <v>2230</v>
      </c>
      <c r="D70" s="41">
        <f>C70</f>
        <v>2230</v>
      </c>
      <c r="E70" s="42">
        <f>IF(D70=0,0,(B70/D70))</f>
        <v>4.4843049327354256</v>
      </c>
      <c r="F70" s="110">
        <f t="shared" si="12"/>
        <v>0</v>
      </c>
      <c r="G70" s="110">
        <f t="shared" si="13"/>
        <v>0</v>
      </c>
      <c r="H70" s="110">
        <f t="shared" si="14"/>
        <v>0</v>
      </c>
      <c r="I70" s="110">
        <f t="shared" si="15"/>
        <v>0</v>
      </c>
      <c r="J70" s="111" t="str">
        <f t="shared" si="16"/>
        <v>C</v>
      </c>
    </row>
    <row r="71" spans="1:10" s="62" customFormat="1" ht="21.75" customHeight="1">
      <c r="A71" s="103" t="s">
        <v>35</v>
      </c>
      <c r="B71" s="104">
        <f>B67+B69-B70</f>
        <v>215000</v>
      </c>
      <c r="C71" s="104">
        <f>C67+C69-C70</f>
        <v>169806</v>
      </c>
      <c r="D71" s="104">
        <f>D67+D69-D70</f>
        <v>210843</v>
      </c>
      <c r="E71" s="106">
        <f>IF(B71=0,0,(D71/B71))</f>
        <v>0.98066511627906972</v>
      </c>
      <c r="F71" s="107">
        <f t="shared" si="12"/>
        <v>0</v>
      </c>
      <c r="G71" s="107">
        <f t="shared" si="13"/>
        <v>0</v>
      </c>
      <c r="H71" s="107">
        <f t="shared" si="14"/>
        <v>0</v>
      </c>
      <c r="I71" s="107" t="str">
        <f t="shared" si="15"/>
        <v>J</v>
      </c>
      <c r="J71" s="108">
        <f t="shared" si="16"/>
        <v>0</v>
      </c>
    </row>
    <row r="72" spans="1:10" s="38" customFormat="1" ht="21.75" customHeight="1" thickBot="1">
      <c r="A72" s="112" t="s">
        <v>36</v>
      </c>
      <c r="B72" s="113">
        <f>B71/(B16+B40)</f>
        <v>1000</v>
      </c>
      <c r="C72" s="113">
        <f>IF(((C23+C47)=0),0,(C71/(C23+C47)))</f>
        <v>1267.2089552238806</v>
      </c>
      <c r="D72" s="114">
        <f>C72</f>
        <v>1267.2089552238806</v>
      </c>
      <c r="E72" s="115">
        <f>IF(B72=0,0,(D72/B72))</f>
        <v>1.2672089552238806</v>
      </c>
      <c r="F72" s="116">
        <f t="shared" si="12"/>
        <v>0</v>
      </c>
      <c r="G72" s="116">
        <f t="shared" si="13"/>
        <v>0</v>
      </c>
      <c r="H72" s="116">
        <f t="shared" si="14"/>
        <v>0</v>
      </c>
      <c r="I72" s="116">
        <f t="shared" si="15"/>
        <v>0</v>
      </c>
      <c r="J72" s="117" t="str">
        <f t="shared" si="16"/>
        <v>C</v>
      </c>
    </row>
    <row r="73" spans="1:10" s="62" customFormat="1" ht="35.1" customHeight="1" thickTop="1">
      <c r="A73" s="118" t="s">
        <v>37</v>
      </c>
      <c r="B73" s="119">
        <f>B24+B48+B71</f>
        <v>576500</v>
      </c>
      <c r="C73" s="120">
        <f>C24+C48+C71</f>
        <v>397400.30000000005</v>
      </c>
      <c r="D73" s="120">
        <f>D24+D48+D71</f>
        <v>493100.03</v>
      </c>
      <c r="E73" s="121">
        <f>IF(B73=0,0,(D73/B73))</f>
        <v>0.85533396357328717</v>
      </c>
      <c r="F73" s="122">
        <f t="shared" si="12"/>
        <v>0</v>
      </c>
      <c r="G73" s="122" t="str">
        <f t="shared" si="13"/>
        <v>D</v>
      </c>
      <c r="H73" s="122">
        <f t="shared" si="14"/>
        <v>0</v>
      </c>
      <c r="I73" s="122">
        <f t="shared" si="15"/>
        <v>0</v>
      </c>
      <c r="J73" s="123">
        <f t="shared" si="16"/>
        <v>0</v>
      </c>
    </row>
    <row r="74" spans="1:10" s="62" customFormat="1" ht="35.1" customHeight="1" thickBot="1">
      <c r="A74" s="124" t="s">
        <v>38</v>
      </c>
      <c r="B74" s="125">
        <f>IF(((B16+B40)=0),0,(B73/(B16+B40)))</f>
        <v>2681.3953488372094</v>
      </c>
      <c r="C74" s="125">
        <f>IF(((C23+C47)=0),0,(C73/(C23+C47)))</f>
        <v>2965.6738805970153</v>
      </c>
      <c r="D74" s="125">
        <f>IF(((D23+D47)=0),0,(D73/(D23+D47)))</f>
        <v>2970.482108433735</v>
      </c>
      <c r="E74" s="126">
        <f>IF(B74=0,0,(D74/B74))</f>
        <v>1.1078120612545586</v>
      </c>
      <c r="F74" s="127">
        <f t="shared" si="12"/>
        <v>0</v>
      </c>
      <c r="G74" s="127">
        <f t="shared" si="13"/>
        <v>0</v>
      </c>
      <c r="H74" s="127">
        <f t="shared" si="14"/>
        <v>0</v>
      </c>
      <c r="I74" s="127">
        <f t="shared" si="15"/>
        <v>0</v>
      </c>
      <c r="J74" s="128" t="str">
        <f t="shared" si="16"/>
        <v>C</v>
      </c>
    </row>
    <row r="75" spans="1:10" s="38" customFormat="1" ht="24.75" customHeight="1" thickTop="1" thickBot="1">
      <c r="A75" s="247" t="s">
        <v>10</v>
      </c>
      <c r="B75" s="248"/>
      <c r="C75" s="248"/>
      <c r="D75" s="248"/>
      <c r="E75" s="248"/>
      <c r="F75" s="248"/>
      <c r="G75" s="248"/>
      <c r="H75" s="248"/>
      <c r="I75" s="248"/>
      <c r="J75" s="249"/>
    </row>
    <row r="76" spans="1:10" s="130" customFormat="1" ht="8.1" customHeight="1" thickTop="1" thickBot="1">
      <c r="A76" s="129"/>
      <c r="B76" s="129"/>
      <c r="C76" s="129"/>
      <c r="D76" s="129"/>
      <c r="E76" s="129"/>
      <c r="F76" s="129"/>
      <c r="G76" s="129"/>
      <c r="H76" s="129"/>
      <c r="I76" s="129"/>
      <c r="J76" s="129"/>
    </row>
    <row r="77" spans="1:10" s="130" customFormat="1" ht="30" customHeight="1" thickTop="1">
      <c r="A77" s="131" t="s">
        <v>86</v>
      </c>
      <c r="B77" s="250">
        <v>22</v>
      </c>
      <c r="C77" s="253">
        <v>18</v>
      </c>
      <c r="D77" s="256"/>
      <c r="E77" s="267">
        <f>IF(B77=0,0,((C77)/B77))</f>
        <v>0.81818181818181823</v>
      </c>
      <c r="F77" s="258" t="s">
        <v>20</v>
      </c>
      <c r="G77" s="259"/>
      <c r="H77" s="259"/>
      <c r="I77" s="259"/>
      <c r="J77" s="260"/>
    </row>
    <row r="78" spans="1:10" s="130" customFormat="1" ht="21.75" customHeight="1">
      <c r="A78" s="132" t="s">
        <v>87</v>
      </c>
      <c r="B78" s="251"/>
      <c r="C78" s="254"/>
      <c r="D78" s="242"/>
      <c r="E78" s="268"/>
      <c r="F78" s="261"/>
      <c r="G78" s="262"/>
      <c r="H78" s="262"/>
      <c r="I78" s="262"/>
      <c r="J78" s="263"/>
    </row>
    <row r="79" spans="1:10" s="130" customFormat="1" ht="21.75" customHeight="1" thickBot="1">
      <c r="A79" s="133" t="s">
        <v>40</v>
      </c>
      <c r="B79" s="252"/>
      <c r="C79" s="255"/>
      <c r="D79" s="257"/>
      <c r="E79" s="269"/>
      <c r="F79" s="264"/>
      <c r="G79" s="265"/>
      <c r="H79" s="265"/>
      <c r="I79" s="265"/>
      <c r="J79" s="266"/>
    </row>
    <row r="80" spans="1:10" s="130" customFormat="1" ht="21.75" customHeight="1" thickTop="1">
      <c r="A80" s="99" t="s">
        <v>39</v>
      </c>
      <c r="B80" s="241"/>
      <c r="C80" s="241"/>
      <c r="D80" s="241"/>
      <c r="E80" s="241"/>
      <c r="F80" s="244"/>
      <c r="G80" s="245"/>
      <c r="H80" s="245"/>
      <c r="I80" s="245"/>
      <c r="J80" s="246"/>
    </row>
    <row r="81" spans="1:10" s="130" customFormat="1" ht="5.0999999999999996" customHeight="1">
      <c r="A81" s="99"/>
      <c r="B81" s="234"/>
      <c r="C81" s="234"/>
      <c r="D81" s="234"/>
      <c r="E81" s="234"/>
      <c r="F81" s="238"/>
      <c r="G81" s="239"/>
      <c r="H81" s="239"/>
      <c r="I81" s="239"/>
      <c r="J81" s="240"/>
    </row>
    <row r="82" spans="1:10" s="130" customFormat="1" ht="21.75" customHeight="1">
      <c r="A82" s="134" t="s">
        <v>88</v>
      </c>
      <c r="B82" s="135">
        <v>650</v>
      </c>
      <c r="C82" s="8">
        <v>519</v>
      </c>
      <c r="D82" s="136">
        <f>IF(E$77=0,0,(ROUND(C82/E$77,0)))</f>
        <v>634</v>
      </c>
      <c r="E82" s="137">
        <f>IF(B82=0,0,(D82/B82))</f>
        <v>0.97538461538461541</v>
      </c>
      <c r="F82" s="55">
        <f t="shared" ref="F82:F90" si="17">IF((E82)&lt;0.75,P$179,0)</f>
        <v>0</v>
      </c>
      <c r="G82" s="55">
        <f t="shared" ref="G82:G90" si="18">IF(AND((E82)&gt;=0.75,(E82)&lt;0.875),L$179,0)</f>
        <v>0</v>
      </c>
      <c r="H82" s="55">
        <f t="shared" ref="H82:H90" si="19">IF(AND((E82)&gt;=0.875,(E82)&lt;0.95),N$178,0)</f>
        <v>0</v>
      </c>
      <c r="I82" s="55" t="str">
        <f t="shared" ref="I82:I90" si="20">IF(AND((E82)&gt;=0.95,(E82)&lt;1.05),L$178,0)</f>
        <v>J</v>
      </c>
      <c r="J82" s="56">
        <f t="shared" ref="J82:J90" si="21">IF((E82)&gt;=1.05,M$179,0)</f>
        <v>0</v>
      </c>
    </row>
    <row r="83" spans="1:10" s="130" customFormat="1" ht="21.75" customHeight="1">
      <c r="A83" s="134" t="s">
        <v>0</v>
      </c>
      <c r="B83" s="138">
        <v>2.2000000000000002</v>
      </c>
      <c r="C83" s="206">
        <f>C85/C84/C82</f>
        <v>2.2169810030260955</v>
      </c>
      <c r="D83" s="139">
        <f>C83</f>
        <v>2.2169810030260955</v>
      </c>
      <c r="E83" s="137">
        <f t="shared" ref="E83:E88" si="22">IF(B83=0,0,(D83/B83))</f>
        <v>1.0077186377391343</v>
      </c>
      <c r="F83" s="55">
        <f t="shared" si="17"/>
        <v>0</v>
      </c>
      <c r="G83" s="55">
        <f t="shared" si="18"/>
        <v>0</v>
      </c>
      <c r="H83" s="55">
        <f t="shared" si="19"/>
        <v>0</v>
      </c>
      <c r="I83" s="55" t="str">
        <f t="shared" si="20"/>
        <v>J</v>
      </c>
      <c r="J83" s="56">
        <f t="shared" si="21"/>
        <v>0</v>
      </c>
    </row>
    <row r="84" spans="1:10" s="130" customFormat="1" ht="21.75" customHeight="1">
      <c r="A84" s="134" t="s">
        <v>41</v>
      </c>
      <c r="B84" s="140">
        <v>77</v>
      </c>
      <c r="C84" s="9">
        <v>77.47</v>
      </c>
      <c r="D84" s="141">
        <f>C84</f>
        <v>77.47</v>
      </c>
      <c r="E84" s="137">
        <f t="shared" si="22"/>
        <v>1.0061038961038962</v>
      </c>
      <c r="F84" s="55">
        <f t="shared" si="17"/>
        <v>0</v>
      </c>
      <c r="G84" s="55">
        <f t="shared" si="18"/>
        <v>0</v>
      </c>
      <c r="H84" s="55">
        <f t="shared" si="19"/>
        <v>0</v>
      </c>
      <c r="I84" s="55" t="str">
        <f t="shared" si="20"/>
        <v>J</v>
      </c>
      <c r="J84" s="56">
        <f t="shared" si="21"/>
        <v>0</v>
      </c>
    </row>
    <row r="85" spans="1:10" s="130" customFormat="1" ht="21.75" customHeight="1">
      <c r="A85" s="142" t="s">
        <v>1</v>
      </c>
      <c r="B85" s="143">
        <v>112533</v>
      </c>
      <c r="C85" s="12">
        <v>89138</v>
      </c>
      <c r="D85" s="144">
        <f>D82*D83*D84</f>
        <v>108889.19460500963</v>
      </c>
      <c r="E85" s="106">
        <f t="shared" si="22"/>
        <v>0.96762011681026572</v>
      </c>
      <c r="F85" s="107">
        <f t="shared" si="17"/>
        <v>0</v>
      </c>
      <c r="G85" s="107">
        <f t="shared" si="18"/>
        <v>0</v>
      </c>
      <c r="H85" s="107">
        <f t="shared" si="19"/>
        <v>0</v>
      </c>
      <c r="I85" s="107" t="str">
        <f t="shared" si="20"/>
        <v>J</v>
      </c>
      <c r="J85" s="108">
        <f t="shared" si="21"/>
        <v>0</v>
      </c>
    </row>
    <row r="86" spans="1:10" s="130" customFormat="1" ht="21.75" customHeight="1">
      <c r="A86" s="134" t="s">
        <v>2</v>
      </c>
      <c r="B86" s="145">
        <v>0.71</v>
      </c>
      <c r="C86" s="13">
        <v>0.78</v>
      </c>
      <c r="D86" s="146">
        <f>C86</f>
        <v>0.78</v>
      </c>
      <c r="E86" s="137">
        <f t="shared" si="22"/>
        <v>1.0985915492957747</v>
      </c>
      <c r="F86" s="55">
        <f t="shared" si="17"/>
        <v>0</v>
      </c>
      <c r="G86" s="55">
        <f t="shared" si="18"/>
        <v>0</v>
      </c>
      <c r="H86" s="55">
        <f t="shared" si="19"/>
        <v>0</v>
      </c>
      <c r="I86" s="55">
        <f t="shared" si="20"/>
        <v>0</v>
      </c>
      <c r="J86" s="56" t="str">
        <f t="shared" si="21"/>
        <v>C</v>
      </c>
    </row>
    <row r="87" spans="1:10" s="130" customFormat="1" ht="21.75" customHeight="1">
      <c r="A87" s="134" t="s">
        <v>3</v>
      </c>
      <c r="B87" s="147">
        <v>2450</v>
      </c>
      <c r="C87" s="14">
        <v>1534.9</v>
      </c>
      <c r="D87" s="148">
        <f>IF(E$77=0,0,(ROUND(C87/E$77,0)))</f>
        <v>1876</v>
      </c>
      <c r="E87" s="137">
        <f t="shared" si="22"/>
        <v>0.76571428571428568</v>
      </c>
      <c r="F87" s="55">
        <f t="shared" si="17"/>
        <v>0</v>
      </c>
      <c r="G87" s="55" t="str">
        <f t="shared" si="18"/>
        <v>D</v>
      </c>
      <c r="H87" s="55">
        <f t="shared" si="19"/>
        <v>0</v>
      </c>
      <c r="I87" s="55">
        <f t="shared" si="20"/>
        <v>0</v>
      </c>
      <c r="J87" s="56">
        <f t="shared" si="21"/>
        <v>0</v>
      </c>
    </row>
    <row r="88" spans="1:10" s="130" customFormat="1" ht="21.75" customHeight="1">
      <c r="A88" s="134" t="s">
        <v>4</v>
      </c>
      <c r="B88" s="149">
        <f>208/165</f>
        <v>1.2606060606060605</v>
      </c>
      <c r="C88" s="15">
        <v>1.538</v>
      </c>
      <c r="D88" s="150">
        <f>C88</f>
        <v>1.538</v>
      </c>
      <c r="E88" s="137">
        <f t="shared" si="22"/>
        <v>1.220048076923077</v>
      </c>
      <c r="F88" s="55">
        <f t="shared" si="17"/>
        <v>0</v>
      </c>
      <c r="G88" s="55">
        <f t="shared" si="18"/>
        <v>0</v>
      </c>
      <c r="H88" s="55">
        <f t="shared" si="19"/>
        <v>0</v>
      </c>
      <c r="I88" s="55">
        <f t="shared" si="20"/>
        <v>0</v>
      </c>
      <c r="J88" s="56" t="str">
        <f t="shared" si="21"/>
        <v>C</v>
      </c>
    </row>
    <row r="89" spans="1:10" s="130" customFormat="1" ht="21.75" customHeight="1">
      <c r="A89" s="151" t="s">
        <v>52</v>
      </c>
      <c r="B89" s="152">
        <v>141600</v>
      </c>
      <c r="C89" s="10">
        <v>93998</v>
      </c>
      <c r="D89" s="153">
        <f>IF(E$77=0,0,(ROUND(C89/E$77,0)))</f>
        <v>114886</v>
      </c>
      <c r="E89" s="59">
        <f>IF(B89=0,0,(D89/B89))</f>
        <v>0.81134180790960453</v>
      </c>
      <c r="F89" s="154">
        <f t="shared" si="17"/>
        <v>0</v>
      </c>
      <c r="G89" s="154" t="str">
        <f t="shared" si="18"/>
        <v>D</v>
      </c>
      <c r="H89" s="154">
        <f t="shared" si="19"/>
        <v>0</v>
      </c>
      <c r="I89" s="154">
        <f t="shared" si="20"/>
        <v>0</v>
      </c>
      <c r="J89" s="155">
        <f t="shared" si="21"/>
        <v>0</v>
      </c>
    </row>
    <row r="90" spans="1:10" s="130" customFormat="1" ht="21.75" customHeight="1" thickBot="1">
      <c r="A90" s="156" t="s">
        <v>5</v>
      </c>
      <c r="B90" s="157">
        <v>8</v>
      </c>
      <c r="C90" s="11">
        <v>12</v>
      </c>
      <c r="D90" s="158">
        <f>C90</f>
        <v>12</v>
      </c>
      <c r="E90" s="159">
        <f>IF(D90=0,0,(B90/D90))</f>
        <v>0.66666666666666663</v>
      </c>
      <c r="F90" s="160" t="str">
        <f t="shared" si="17"/>
        <v>M</v>
      </c>
      <c r="G90" s="160">
        <f t="shared" si="18"/>
        <v>0</v>
      </c>
      <c r="H90" s="160">
        <f t="shared" si="19"/>
        <v>0</v>
      </c>
      <c r="I90" s="160">
        <f t="shared" si="20"/>
        <v>0</v>
      </c>
      <c r="J90" s="161">
        <f t="shared" si="21"/>
        <v>0</v>
      </c>
    </row>
    <row r="91" spans="1:10" s="130" customFormat="1" ht="8.1" customHeight="1" thickTop="1" thickBot="1">
      <c r="A91" s="162"/>
      <c r="B91" s="163"/>
      <c r="C91" s="163"/>
      <c r="D91" s="163"/>
      <c r="E91" s="163"/>
      <c r="F91" s="163"/>
      <c r="G91" s="163"/>
      <c r="H91" s="163"/>
      <c r="I91" s="163"/>
      <c r="J91" s="164"/>
    </row>
    <row r="92" spans="1:10" s="130" customFormat="1" ht="21.75" customHeight="1">
      <c r="A92" s="165" t="s">
        <v>42</v>
      </c>
      <c r="B92" s="233"/>
      <c r="C92" s="233"/>
      <c r="D92" s="233"/>
      <c r="E92" s="233"/>
      <c r="F92" s="235"/>
      <c r="G92" s="236"/>
      <c r="H92" s="236"/>
      <c r="I92" s="236"/>
      <c r="J92" s="237"/>
    </row>
    <row r="93" spans="1:10" s="130" customFormat="1" ht="5.0999999999999996" customHeight="1">
      <c r="A93" s="99"/>
      <c r="B93" s="234"/>
      <c r="C93" s="234"/>
      <c r="D93" s="234"/>
      <c r="E93" s="234"/>
      <c r="F93" s="238"/>
      <c r="G93" s="239"/>
      <c r="H93" s="239"/>
      <c r="I93" s="239"/>
      <c r="J93" s="240"/>
    </row>
    <row r="94" spans="1:10" s="130" customFormat="1" ht="21.75" customHeight="1">
      <c r="A94" s="134" t="s">
        <v>44</v>
      </c>
      <c r="B94" s="135">
        <v>120</v>
      </c>
      <c r="C94" s="8">
        <v>87</v>
      </c>
      <c r="D94" s="136">
        <f>IF(E$77=0,0,(ROUND(C94/E$77,0)))</f>
        <v>106</v>
      </c>
      <c r="E94" s="137">
        <f>IF(B94=0,0,(D94/B94))</f>
        <v>0.8833333333333333</v>
      </c>
      <c r="F94" s="55">
        <f t="shared" ref="F94:F104" si="23">IF((E94)&lt;0.75,P$179,0)</f>
        <v>0</v>
      </c>
      <c r="G94" s="55">
        <f t="shared" ref="G94:G104" si="24">IF(AND((E94)&gt;=0.75,(E94)&lt;0.875),L$179,0)</f>
        <v>0</v>
      </c>
      <c r="H94" s="55" t="str">
        <f t="shared" ref="H94:H104" si="25">IF(AND((E94)&gt;=0.875,(E94)&lt;0.95),N$178,0)</f>
        <v>L</v>
      </c>
      <c r="I94" s="55">
        <f t="shared" ref="I94:I104" si="26">IF(AND((E94)&gt;=0.95,(E94)&lt;1.05),L$178,0)</f>
        <v>0</v>
      </c>
      <c r="J94" s="56">
        <f t="shared" ref="J94:J104" si="27">IF((E94)&gt;=1.05,M$179,0)</f>
        <v>0</v>
      </c>
    </row>
    <row r="95" spans="1:10" s="130" customFormat="1" ht="21.75" customHeight="1">
      <c r="A95" s="134" t="s">
        <v>43</v>
      </c>
      <c r="B95" s="166">
        <f>ROUND(B94*B96,0)</f>
        <v>60</v>
      </c>
      <c r="C95" s="17">
        <v>56</v>
      </c>
      <c r="D95" s="136">
        <f>IF(E$77=0,0,(ROUND(C95/E$77,0)))</f>
        <v>68</v>
      </c>
      <c r="E95" s="137">
        <f t="shared" ref="E95:E103" si="28">IF(B95=0,0,(D95/B95))</f>
        <v>1.1333333333333333</v>
      </c>
      <c r="F95" s="55">
        <f t="shared" si="23"/>
        <v>0</v>
      </c>
      <c r="G95" s="55">
        <f t="shared" si="24"/>
        <v>0</v>
      </c>
      <c r="H95" s="55">
        <f t="shared" si="25"/>
        <v>0</v>
      </c>
      <c r="I95" s="55">
        <f t="shared" si="26"/>
        <v>0</v>
      </c>
      <c r="J95" s="56" t="str">
        <f t="shared" si="27"/>
        <v>C</v>
      </c>
    </row>
    <row r="96" spans="1:10" s="130" customFormat="1" ht="21.75" customHeight="1">
      <c r="A96" s="167" t="s">
        <v>47</v>
      </c>
      <c r="B96" s="149">
        <v>0.5</v>
      </c>
      <c r="C96" s="168">
        <v>8.5754999999999999</v>
      </c>
      <c r="D96" s="168">
        <f>IF(D94=0,0,(D95/D94))</f>
        <v>0.64150943396226412</v>
      </c>
      <c r="E96" s="137">
        <f t="shared" si="28"/>
        <v>1.2830188679245282</v>
      </c>
      <c r="F96" s="55">
        <f t="shared" si="23"/>
        <v>0</v>
      </c>
      <c r="G96" s="55">
        <f t="shared" si="24"/>
        <v>0</v>
      </c>
      <c r="H96" s="55">
        <f t="shared" si="25"/>
        <v>0</v>
      </c>
      <c r="I96" s="55">
        <f t="shared" si="26"/>
        <v>0</v>
      </c>
      <c r="J96" s="56" t="str">
        <f t="shared" si="27"/>
        <v>C</v>
      </c>
    </row>
    <row r="97" spans="1:10" s="130" customFormat="1" ht="21.75" hidden="1" customHeight="1">
      <c r="A97" s="134" t="s">
        <v>45</v>
      </c>
      <c r="B97" s="135">
        <v>0</v>
      </c>
      <c r="C97" s="8">
        <v>0</v>
      </c>
      <c r="D97" s="136">
        <f>C97</f>
        <v>0</v>
      </c>
      <c r="E97" s="137">
        <f>IF(B97=0,0,(D97/B97))</f>
        <v>0</v>
      </c>
      <c r="F97" s="55" t="str">
        <f t="shared" si="23"/>
        <v>M</v>
      </c>
      <c r="G97" s="55">
        <f t="shared" si="24"/>
        <v>0</v>
      </c>
      <c r="H97" s="55">
        <f t="shared" si="25"/>
        <v>0</v>
      </c>
      <c r="I97" s="55">
        <f t="shared" si="26"/>
        <v>0</v>
      </c>
      <c r="J97" s="56">
        <f t="shared" si="27"/>
        <v>0</v>
      </c>
    </row>
    <row r="98" spans="1:10" s="130" customFormat="1" ht="21.75" hidden="1" customHeight="1">
      <c r="A98" s="134" t="s">
        <v>46</v>
      </c>
      <c r="B98" s="169">
        <f>B97*1800</f>
        <v>0</v>
      </c>
      <c r="C98" s="16">
        <v>0</v>
      </c>
      <c r="D98" s="170">
        <f>C98</f>
        <v>0</v>
      </c>
      <c r="E98" s="171">
        <f>IF(B98=0,0,(D98/B98))</f>
        <v>0</v>
      </c>
      <c r="F98" s="172" t="str">
        <f t="shared" si="23"/>
        <v>M</v>
      </c>
      <c r="G98" s="172">
        <f t="shared" si="24"/>
        <v>0</v>
      </c>
      <c r="H98" s="172">
        <f t="shared" si="25"/>
        <v>0</v>
      </c>
      <c r="I98" s="172">
        <f t="shared" si="26"/>
        <v>0</v>
      </c>
      <c r="J98" s="173">
        <f t="shared" si="27"/>
        <v>0</v>
      </c>
    </row>
    <row r="99" spans="1:10" s="130" customFormat="1" ht="21.75" hidden="1" customHeight="1">
      <c r="A99" s="134" t="s">
        <v>48</v>
      </c>
      <c r="B99" s="145">
        <f>435/293</f>
        <v>1.4846416382252561</v>
      </c>
      <c r="C99" s="13">
        <v>0</v>
      </c>
      <c r="D99" s="146">
        <f>C99</f>
        <v>0</v>
      </c>
      <c r="E99" s="137">
        <f t="shared" si="28"/>
        <v>0</v>
      </c>
      <c r="F99" s="55" t="str">
        <f t="shared" si="23"/>
        <v>M</v>
      </c>
      <c r="G99" s="55">
        <f t="shared" si="24"/>
        <v>0</v>
      </c>
      <c r="H99" s="55">
        <f t="shared" si="25"/>
        <v>0</v>
      </c>
      <c r="I99" s="55">
        <f t="shared" si="26"/>
        <v>0</v>
      </c>
      <c r="J99" s="56">
        <f t="shared" si="27"/>
        <v>0</v>
      </c>
    </row>
    <row r="100" spans="1:10" s="130" customFormat="1" ht="21.75" customHeight="1">
      <c r="A100" s="134" t="s">
        <v>55</v>
      </c>
      <c r="B100" s="147">
        <f>350*4.333</f>
        <v>1516.55</v>
      </c>
      <c r="C100" s="14">
        <v>1138.9000000000001</v>
      </c>
      <c r="D100" s="148">
        <f>IF(E$77=0,0,(ROUND(C100/E$77,0)))</f>
        <v>1392</v>
      </c>
      <c r="E100" s="137">
        <f t="shared" si="28"/>
        <v>0.91787280340245958</v>
      </c>
      <c r="F100" s="55">
        <f t="shared" si="23"/>
        <v>0</v>
      </c>
      <c r="G100" s="55">
        <f t="shared" si="24"/>
        <v>0</v>
      </c>
      <c r="H100" s="55" t="str">
        <f t="shared" si="25"/>
        <v>L</v>
      </c>
      <c r="I100" s="55">
        <f t="shared" si="26"/>
        <v>0</v>
      </c>
      <c r="J100" s="56">
        <f t="shared" si="27"/>
        <v>0</v>
      </c>
    </row>
    <row r="101" spans="1:10" s="130" customFormat="1" ht="21.75" hidden="1" customHeight="1">
      <c r="A101" s="134" t="s">
        <v>49</v>
      </c>
      <c r="B101" s="149">
        <f>350/150</f>
        <v>2.3333333333333335</v>
      </c>
      <c r="C101" s="15">
        <v>0</v>
      </c>
      <c r="D101" s="150">
        <f>C101</f>
        <v>0</v>
      </c>
      <c r="E101" s="137">
        <f t="shared" si="28"/>
        <v>0</v>
      </c>
      <c r="F101" s="55" t="str">
        <f t="shared" si="23"/>
        <v>M</v>
      </c>
      <c r="G101" s="55">
        <f t="shared" si="24"/>
        <v>0</v>
      </c>
      <c r="H101" s="55">
        <f t="shared" si="25"/>
        <v>0</v>
      </c>
      <c r="I101" s="55">
        <f t="shared" si="26"/>
        <v>0</v>
      </c>
      <c r="J101" s="56">
        <f t="shared" si="27"/>
        <v>0</v>
      </c>
    </row>
    <row r="102" spans="1:10" s="130" customFormat="1" ht="21.75" customHeight="1">
      <c r="A102" s="142" t="s">
        <v>54</v>
      </c>
      <c r="B102" s="174">
        <v>200000</v>
      </c>
      <c r="C102" s="12">
        <v>70050</v>
      </c>
      <c r="D102" s="175">
        <f>IF(E$77=0,0,(ROUND(C102/E$77,0)))</f>
        <v>85617</v>
      </c>
      <c r="E102" s="59">
        <f>IF(B102=0,0,(D102/B102))</f>
        <v>0.42808499999999999</v>
      </c>
      <c r="F102" s="154" t="str">
        <f t="shared" si="23"/>
        <v>M</v>
      </c>
      <c r="G102" s="154">
        <f t="shared" si="24"/>
        <v>0</v>
      </c>
      <c r="H102" s="154">
        <f t="shared" si="25"/>
        <v>0</v>
      </c>
      <c r="I102" s="154">
        <f t="shared" si="26"/>
        <v>0</v>
      </c>
      <c r="J102" s="155">
        <f t="shared" si="27"/>
        <v>0</v>
      </c>
    </row>
    <row r="103" spans="1:10" s="130" customFormat="1" ht="21.75" customHeight="1" thickBot="1">
      <c r="A103" s="229" t="s">
        <v>53</v>
      </c>
      <c r="B103" s="230">
        <v>85000</v>
      </c>
      <c r="C103" s="231">
        <v>32474</v>
      </c>
      <c r="D103" s="232">
        <f>IF(E$77=0,0,(ROUND(C103/E$77,0)))</f>
        <v>39690</v>
      </c>
      <c r="E103" s="195">
        <f t="shared" si="28"/>
        <v>0.46694117647058825</v>
      </c>
      <c r="F103" s="196" t="str">
        <f t="shared" si="23"/>
        <v>M</v>
      </c>
      <c r="G103" s="196">
        <f t="shared" si="24"/>
        <v>0</v>
      </c>
      <c r="H103" s="196">
        <f t="shared" si="25"/>
        <v>0</v>
      </c>
      <c r="I103" s="196">
        <f t="shared" si="26"/>
        <v>0</v>
      </c>
      <c r="J103" s="197">
        <f t="shared" si="27"/>
        <v>0</v>
      </c>
    </row>
    <row r="104" spans="1:10" s="130" customFormat="1" ht="21.75" hidden="1" customHeight="1" thickBot="1">
      <c r="A104" s="222" t="s">
        <v>50</v>
      </c>
      <c r="B104" s="223">
        <v>1</v>
      </c>
      <c r="C104" s="224">
        <v>3</v>
      </c>
      <c r="D104" s="225">
        <f>C104</f>
        <v>3</v>
      </c>
      <c r="E104" s="226">
        <f>IF(D104=0,0,(B104/D104))</f>
        <v>0.33333333333333331</v>
      </c>
      <c r="F104" s="227" t="str">
        <f t="shared" si="23"/>
        <v>M</v>
      </c>
      <c r="G104" s="227">
        <f t="shared" si="24"/>
        <v>0</v>
      </c>
      <c r="H104" s="227">
        <f t="shared" si="25"/>
        <v>0</v>
      </c>
      <c r="I104" s="227">
        <f t="shared" si="26"/>
        <v>0</v>
      </c>
      <c r="J104" s="228">
        <f t="shared" si="27"/>
        <v>0</v>
      </c>
    </row>
    <row r="105" spans="1:10" s="130" customFormat="1" ht="8.1" customHeight="1" thickTop="1" thickBot="1">
      <c r="A105" s="162"/>
      <c r="B105" s="163"/>
      <c r="C105" s="163"/>
      <c r="D105" s="163"/>
      <c r="E105" s="163"/>
      <c r="F105" s="163"/>
      <c r="G105" s="163"/>
      <c r="H105" s="163"/>
      <c r="I105" s="163"/>
      <c r="J105" s="164"/>
    </row>
    <row r="106" spans="1:10" s="130" customFormat="1" ht="21.75" customHeight="1">
      <c r="A106" s="165" t="s">
        <v>51</v>
      </c>
      <c r="B106" s="233"/>
      <c r="C106" s="233"/>
      <c r="D106" s="233"/>
      <c r="E106" s="233"/>
      <c r="F106" s="235"/>
      <c r="G106" s="236"/>
      <c r="H106" s="236"/>
      <c r="I106" s="236"/>
      <c r="J106" s="237"/>
    </row>
    <row r="107" spans="1:10" s="130" customFormat="1" ht="5.0999999999999996" customHeight="1">
      <c r="A107" s="99"/>
      <c r="B107" s="234"/>
      <c r="C107" s="234"/>
      <c r="D107" s="234"/>
      <c r="E107" s="234"/>
      <c r="F107" s="238"/>
      <c r="G107" s="239"/>
      <c r="H107" s="239"/>
      <c r="I107" s="239"/>
      <c r="J107" s="240"/>
    </row>
    <row r="108" spans="1:10" s="130" customFormat="1" ht="21.75" customHeight="1">
      <c r="A108" s="101" t="s">
        <v>56</v>
      </c>
      <c r="B108" s="177">
        <v>83000</v>
      </c>
      <c r="C108" s="19">
        <v>72002</v>
      </c>
      <c r="D108" s="178">
        <f>IF(E$77=0,0,(ROUND(C108/E$77,0)))</f>
        <v>88002</v>
      </c>
      <c r="E108" s="179">
        <f>IF(B108=0,0,(D108/B108))</f>
        <v>1.0602650602409638</v>
      </c>
      <c r="F108" s="116">
        <f t="shared" ref="F108:F114" si="29">IF((E108)&lt;0.75,P$179,0)</f>
        <v>0</v>
      </c>
      <c r="G108" s="116">
        <f t="shared" ref="G108:G114" si="30">IF(AND((E108)&gt;=0.75,(E108)&lt;0.875),L$179,0)</f>
        <v>0</v>
      </c>
      <c r="H108" s="116">
        <f t="shared" ref="H108:H114" si="31">IF(AND((E108)&gt;=0.875,(E108)&lt;0.95),N$178,0)</f>
        <v>0</v>
      </c>
      <c r="I108" s="116">
        <f t="shared" ref="I108:I114" si="32">IF(AND((E108)&gt;=0.95,(E108)&lt;1.05),L$178,0)</f>
        <v>0</v>
      </c>
      <c r="J108" s="117" t="str">
        <f t="shared" ref="J108:J114" si="33">IF((E108)&gt;=1.05,M$179,0)</f>
        <v>C</v>
      </c>
    </row>
    <row r="109" spans="1:10" s="130" customFormat="1" ht="21.75" customHeight="1">
      <c r="A109" s="101" t="s">
        <v>57</v>
      </c>
      <c r="B109" s="180">
        <v>18000</v>
      </c>
      <c r="C109" s="20">
        <v>12306</v>
      </c>
      <c r="D109" s="181">
        <f>IF(E$77=0,0,(ROUND(C109/E$77,0)))</f>
        <v>15041</v>
      </c>
      <c r="E109" s="179">
        <f>IF(B109=0,0,(D109/B109))</f>
        <v>0.83561111111111108</v>
      </c>
      <c r="F109" s="116">
        <f t="shared" si="29"/>
        <v>0</v>
      </c>
      <c r="G109" s="116" t="str">
        <f t="shared" si="30"/>
        <v>D</v>
      </c>
      <c r="H109" s="116">
        <f t="shared" si="31"/>
        <v>0</v>
      </c>
      <c r="I109" s="116">
        <f t="shared" si="32"/>
        <v>0</v>
      </c>
      <c r="J109" s="117">
        <f t="shared" si="33"/>
        <v>0</v>
      </c>
    </row>
    <row r="110" spans="1:10" s="130" customFormat="1" ht="21.75" customHeight="1">
      <c r="A110" s="142" t="s">
        <v>7</v>
      </c>
      <c r="B110" s="174">
        <v>339600</v>
      </c>
      <c r="C110" s="12">
        <v>222052</v>
      </c>
      <c r="D110" s="175">
        <f>IF(E$77=0,0,(ROUND(C110/E$77,0)))</f>
        <v>271397</v>
      </c>
      <c r="E110" s="106">
        <f>IF(B110=0,0,(D110/B110))</f>
        <v>0.79916666666666669</v>
      </c>
      <c r="F110" s="154">
        <f t="shared" si="29"/>
        <v>0</v>
      </c>
      <c r="G110" s="154" t="str">
        <f t="shared" si="30"/>
        <v>D</v>
      </c>
      <c r="H110" s="154">
        <f t="shared" si="31"/>
        <v>0</v>
      </c>
      <c r="I110" s="154">
        <f t="shared" si="32"/>
        <v>0</v>
      </c>
      <c r="J110" s="155">
        <f t="shared" si="33"/>
        <v>0</v>
      </c>
    </row>
    <row r="111" spans="1:10" s="130" customFormat="1" ht="21.75" customHeight="1">
      <c r="A111" s="142" t="s">
        <v>53</v>
      </c>
      <c r="B111" s="143">
        <f>B112*B110</f>
        <v>110370</v>
      </c>
      <c r="C111" s="12">
        <v>59929</v>
      </c>
      <c r="D111" s="176">
        <f>IF(E$77=0,0,(ROUND(C111/E$77,0)))</f>
        <v>73247</v>
      </c>
      <c r="E111" s="59">
        <f>IF(B111=0,0,(D111/B111))</f>
        <v>0.66364954244812902</v>
      </c>
      <c r="F111" s="154" t="str">
        <f t="shared" si="29"/>
        <v>M</v>
      </c>
      <c r="G111" s="154">
        <f t="shared" si="30"/>
        <v>0</v>
      </c>
      <c r="H111" s="154">
        <f t="shared" si="31"/>
        <v>0</v>
      </c>
      <c r="I111" s="154">
        <f t="shared" si="32"/>
        <v>0</v>
      </c>
      <c r="J111" s="155">
        <f t="shared" si="33"/>
        <v>0</v>
      </c>
    </row>
    <row r="112" spans="1:10" s="130" customFormat="1" ht="21.75" customHeight="1">
      <c r="A112" s="182" t="s">
        <v>58</v>
      </c>
      <c r="B112" s="183">
        <v>0.32500000000000001</v>
      </c>
      <c r="C112" s="207">
        <v>0.32019999999999998</v>
      </c>
      <c r="D112" s="184">
        <f>C112</f>
        <v>0.32019999999999998</v>
      </c>
      <c r="E112" s="59">
        <f>IF(B112=0,0,(D112/B112))</f>
        <v>0.98523076923076913</v>
      </c>
      <c r="F112" s="154">
        <f t="shared" si="29"/>
        <v>0</v>
      </c>
      <c r="G112" s="154">
        <f t="shared" si="30"/>
        <v>0</v>
      </c>
      <c r="H112" s="154">
        <f t="shared" si="31"/>
        <v>0</v>
      </c>
      <c r="I112" s="154" t="str">
        <f t="shared" si="32"/>
        <v>J</v>
      </c>
      <c r="J112" s="155">
        <f t="shared" si="33"/>
        <v>0</v>
      </c>
    </row>
    <row r="113" spans="1:10" s="130" customFormat="1" ht="21.75" customHeight="1">
      <c r="A113" s="185" t="s">
        <v>59</v>
      </c>
      <c r="B113" s="186">
        <v>380000</v>
      </c>
      <c r="C113" s="18">
        <v>382605</v>
      </c>
      <c r="D113" s="187">
        <f>C113</f>
        <v>382605</v>
      </c>
      <c r="E113" s="188">
        <f>IF(D113=0,0,(B113/D113))</f>
        <v>0.99319141150795209</v>
      </c>
      <c r="F113" s="172">
        <f t="shared" si="29"/>
        <v>0</v>
      </c>
      <c r="G113" s="172">
        <f t="shared" si="30"/>
        <v>0</v>
      </c>
      <c r="H113" s="172">
        <f t="shared" si="31"/>
        <v>0</v>
      </c>
      <c r="I113" s="172" t="str">
        <f t="shared" si="32"/>
        <v>J</v>
      </c>
      <c r="J113" s="173">
        <f t="shared" si="33"/>
        <v>0</v>
      </c>
    </row>
    <row r="114" spans="1:10" s="130" customFormat="1" ht="21.75" customHeight="1" thickBot="1">
      <c r="A114" s="189" t="s">
        <v>60</v>
      </c>
      <c r="B114" s="190">
        <f>(B113)/(B110-B111)*30</f>
        <v>49.73171050909567</v>
      </c>
      <c r="C114" s="21">
        <v>51</v>
      </c>
      <c r="D114" s="191">
        <f>C114</f>
        <v>51</v>
      </c>
      <c r="E114" s="192">
        <f>IF(D114=0,0,(B114/D114))</f>
        <v>0.975131578609719</v>
      </c>
      <c r="F114" s="127">
        <f t="shared" si="29"/>
        <v>0</v>
      </c>
      <c r="G114" s="127">
        <f t="shared" si="30"/>
        <v>0</v>
      </c>
      <c r="H114" s="127">
        <f t="shared" si="31"/>
        <v>0</v>
      </c>
      <c r="I114" s="127" t="str">
        <f t="shared" si="32"/>
        <v>J</v>
      </c>
      <c r="J114" s="128">
        <f t="shared" si="33"/>
        <v>0</v>
      </c>
    </row>
    <row r="115" spans="1:10" s="130" customFormat="1" ht="8.1" customHeight="1" thickTop="1" thickBot="1">
      <c r="A115" s="162"/>
      <c r="B115" s="163"/>
      <c r="C115" s="163"/>
      <c r="D115" s="163"/>
      <c r="E115" s="163"/>
      <c r="F115" s="163"/>
      <c r="G115" s="163"/>
      <c r="H115" s="163"/>
      <c r="I115" s="163"/>
      <c r="J115" s="164"/>
    </row>
    <row r="116" spans="1:10" s="130" customFormat="1" ht="21.75" customHeight="1">
      <c r="A116" s="165" t="s">
        <v>62</v>
      </c>
      <c r="B116" s="233"/>
      <c r="C116" s="233"/>
      <c r="D116" s="233"/>
      <c r="E116" s="233"/>
      <c r="F116" s="235"/>
      <c r="G116" s="236"/>
      <c r="H116" s="236"/>
      <c r="I116" s="236"/>
      <c r="J116" s="237"/>
    </row>
    <row r="117" spans="1:10" s="130" customFormat="1" ht="5.0999999999999996" customHeight="1">
      <c r="A117" s="99"/>
      <c r="B117" s="234"/>
      <c r="C117" s="234"/>
      <c r="D117" s="234"/>
      <c r="E117" s="234"/>
      <c r="F117" s="238"/>
      <c r="G117" s="239"/>
      <c r="H117" s="239"/>
      <c r="I117" s="239"/>
      <c r="J117" s="240"/>
    </row>
    <row r="118" spans="1:10" s="130" customFormat="1" ht="30" customHeight="1" thickBot="1">
      <c r="A118" s="193" t="s">
        <v>63</v>
      </c>
      <c r="B118" s="194">
        <f>B89+B103+B111</f>
        <v>336970</v>
      </c>
      <c r="C118" s="194">
        <f>C89+C103+C111</f>
        <v>186401</v>
      </c>
      <c r="D118" s="194">
        <f>D89+D103+D111</f>
        <v>227823</v>
      </c>
      <c r="E118" s="195">
        <f>IF(B118=0,0,(D118/B118))</f>
        <v>0.6760928272546517</v>
      </c>
      <c r="F118" s="196" t="str">
        <f>IF((E118)&lt;0.75,P$179,0)</f>
        <v>M</v>
      </c>
      <c r="G118" s="196">
        <f>IF(AND((E118)&gt;=0.75,(E118)&lt;0.875),L$179,0)</f>
        <v>0</v>
      </c>
      <c r="H118" s="196">
        <f>IF(AND((E118)&gt;=0.875,(E118)&lt;0.95),N$178,0)</f>
        <v>0</v>
      </c>
      <c r="I118" s="196">
        <f>IF(AND((E118)&gt;=0.95,(E118)&lt;1.05),L$178,0)</f>
        <v>0</v>
      </c>
      <c r="J118" s="197">
        <f>IF((E118)&gt;=1.05,M$179,0)</f>
        <v>0</v>
      </c>
    </row>
    <row r="119" spans="1:10" s="130" customFormat="1" ht="8.1" customHeight="1" thickTop="1" thickBot="1">
      <c r="A119" s="162"/>
      <c r="B119" s="163"/>
      <c r="C119" s="163"/>
      <c r="D119" s="163"/>
      <c r="E119" s="163"/>
      <c r="F119" s="163"/>
      <c r="G119" s="163"/>
      <c r="H119" s="163"/>
      <c r="I119" s="163"/>
      <c r="J119" s="164"/>
    </row>
    <row r="120" spans="1:10" s="130" customFormat="1" ht="21.75" customHeight="1">
      <c r="A120" s="165" t="s">
        <v>61</v>
      </c>
      <c r="B120" s="233"/>
      <c r="C120" s="233"/>
      <c r="D120" s="233"/>
      <c r="E120" s="233"/>
      <c r="F120" s="235"/>
      <c r="G120" s="236"/>
      <c r="H120" s="236"/>
      <c r="I120" s="236"/>
      <c r="J120" s="237"/>
    </row>
    <row r="121" spans="1:10" s="130" customFormat="1" ht="5.0999999999999996" customHeight="1">
      <c r="A121" s="99"/>
      <c r="B121" s="234"/>
      <c r="C121" s="234"/>
      <c r="D121" s="234"/>
      <c r="E121" s="234"/>
      <c r="F121" s="238"/>
      <c r="G121" s="239"/>
      <c r="H121" s="239"/>
      <c r="I121" s="239"/>
      <c r="J121" s="240"/>
    </row>
    <row r="122" spans="1:10" s="130" customFormat="1" ht="30" customHeight="1" thickBot="1">
      <c r="A122" s="193" t="s">
        <v>6</v>
      </c>
      <c r="B122" s="194">
        <f>B73+B118</f>
        <v>913470</v>
      </c>
      <c r="C122" s="194">
        <f>C73+C118</f>
        <v>583801.30000000005</v>
      </c>
      <c r="D122" s="194">
        <f>D73+D118</f>
        <v>720923.03</v>
      </c>
      <c r="E122" s="195">
        <f>IF(B122=0,0,(D122/B122))</f>
        <v>0.78921369065212876</v>
      </c>
      <c r="F122" s="196">
        <f>IF((E122)&lt;0.75,P$179,0)</f>
        <v>0</v>
      </c>
      <c r="G122" s="196" t="str">
        <f>IF(AND((E122)&gt;=0.75,(E122)&lt;0.875),L$179,0)</f>
        <v>D</v>
      </c>
      <c r="H122" s="196">
        <f>IF(AND((E122)&gt;=0.875,(E122)&lt;0.95),N$178,0)</f>
        <v>0</v>
      </c>
      <c r="I122" s="196">
        <f>IF(AND((E122)&gt;=0.95,(E122)&lt;1.05),L$178,0)</f>
        <v>0</v>
      </c>
      <c r="J122" s="197">
        <f>IF((E122)&gt;=1.05,M$179,0)</f>
        <v>0</v>
      </c>
    </row>
    <row r="123" spans="1:10" s="198" customFormat="1" ht="8.1" customHeight="1" thickTop="1"/>
    <row r="124" spans="1:10" s="201" customFormat="1" ht="25.5">
      <c r="A124" s="199" t="str">
        <f>P179</f>
        <v>M</v>
      </c>
      <c r="B124" s="200" t="s">
        <v>64</v>
      </c>
    </row>
    <row r="125" spans="1:10" s="201" customFormat="1" ht="25.5">
      <c r="A125" s="199" t="str">
        <f>L179</f>
        <v>D</v>
      </c>
      <c r="B125" s="202" t="s">
        <v>65</v>
      </c>
    </row>
    <row r="126" spans="1:10" s="201" customFormat="1" ht="25.5">
      <c r="A126" s="199" t="str">
        <f>N178</f>
        <v>L</v>
      </c>
      <c r="B126" s="202" t="s">
        <v>66</v>
      </c>
    </row>
    <row r="127" spans="1:10" s="201" customFormat="1" ht="25.5">
      <c r="A127" s="199" t="str">
        <f>L178</f>
        <v>J</v>
      </c>
      <c r="B127" s="202" t="s">
        <v>67</v>
      </c>
    </row>
    <row r="128" spans="1:10" s="201" customFormat="1" ht="25.5">
      <c r="A128" s="199" t="str">
        <f>M179</f>
        <v>C</v>
      </c>
      <c r="B128" s="202" t="s">
        <v>68</v>
      </c>
    </row>
    <row r="129" s="29" customFormat="1" ht="15.75" customHeight="1"/>
    <row r="130" s="29" customFormat="1" ht="15.75" customHeight="1"/>
    <row r="131" s="29" customFormat="1" ht="15.75" customHeight="1"/>
    <row r="132" s="29" customFormat="1" ht="15.75" customHeight="1"/>
    <row r="133" s="29" customFormat="1" ht="15.75" customHeight="1"/>
    <row r="134" s="29" customFormat="1" ht="15.75" customHeight="1"/>
    <row r="135" s="29" customFormat="1" ht="15.75" customHeight="1"/>
    <row r="136" s="29" customFormat="1" ht="15.75" customHeight="1"/>
    <row r="137" s="29" customFormat="1" ht="15.75" customHeight="1"/>
    <row r="138" s="29" customFormat="1" ht="15.75" customHeight="1"/>
    <row r="139" s="29" customFormat="1" ht="15.75" customHeight="1"/>
    <row r="140" s="29" customFormat="1" ht="15.75" customHeight="1"/>
    <row r="141" s="29" customFormat="1" ht="15.75" customHeight="1"/>
    <row r="142" s="29" customFormat="1" ht="15.75" customHeight="1"/>
    <row r="143" s="29" customFormat="1" ht="15.75" customHeight="1"/>
    <row r="144" s="29" customFormat="1" ht="15.75" customHeight="1"/>
    <row r="145" s="29" customFormat="1" ht="15.75" customHeight="1"/>
    <row r="146" s="29" customFormat="1" ht="15.75" customHeight="1"/>
    <row r="147" s="29" customFormat="1" ht="15.75" customHeight="1"/>
    <row r="148" s="29" customFormat="1" ht="15.75" customHeight="1"/>
    <row r="149" s="29" customFormat="1" ht="15.75" customHeight="1"/>
    <row r="150" s="29" customFormat="1" ht="15.75" customHeight="1"/>
    <row r="151" s="29" customFormat="1" ht="15.75" customHeight="1"/>
    <row r="152" s="29" customFormat="1" ht="15.75" customHeight="1"/>
    <row r="153" s="29" customFormat="1" ht="15.75" customHeight="1"/>
    <row r="154" s="29" customFormat="1" ht="15.75" customHeight="1"/>
    <row r="155" s="29" customFormat="1" ht="15.75" customHeight="1"/>
    <row r="156" s="29" customFormat="1" ht="15.75" customHeight="1"/>
    <row r="157" s="29" customFormat="1" ht="15.75" customHeight="1"/>
    <row r="158" s="29" customFormat="1" ht="15.75" customHeight="1"/>
    <row r="178" spans="12:16" ht="24.75" customHeight="1">
      <c r="L178" s="203" t="s">
        <v>77</v>
      </c>
      <c r="M178" s="203" t="s">
        <v>78</v>
      </c>
      <c r="N178" s="203" t="s">
        <v>79</v>
      </c>
      <c r="O178" s="203" t="s">
        <v>80</v>
      </c>
    </row>
    <row r="179" spans="12:16" ht="24.75" customHeight="1">
      <c r="L179" s="203" t="s">
        <v>81</v>
      </c>
      <c r="M179" s="203" t="s">
        <v>82</v>
      </c>
      <c r="N179" s="203" t="s">
        <v>83</v>
      </c>
      <c r="O179" s="203" t="s">
        <v>84</v>
      </c>
      <c r="P179" s="203" t="s">
        <v>85</v>
      </c>
    </row>
    <row r="180" spans="12:16" ht="24.75" customHeight="1">
      <c r="L180" s="204"/>
      <c r="M180" s="205"/>
      <c r="N180" s="205"/>
      <c r="O180" s="205"/>
      <c r="P180" s="205"/>
    </row>
  </sheetData>
  <mergeCells count="76">
    <mergeCell ref="A1:A3"/>
    <mergeCell ref="A4:J4"/>
    <mergeCell ref="B1:J1"/>
    <mergeCell ref="B2:J2"/>
    <mergeCell ref="B3:J3"/>
    <mergeCell ref="A16:A17"/>
    <mergeCell ref="D13:D15"/>
    <mergeCell ref="A14:A15"/>
    <mergeCell ref="E14:E15"/>
    <mergeCell ref="B13:B15"/>
    <mergeCell ref="A11:A12"/>
    <mergeCell ref="B11:B12"/>
    <mergeCell ref="F13:J15"/>
    <mergeCell ref="C13:C15"/>
    <mergeCell ref="C11:C12"/>
    <mergeCell ref="E11:J12"/>
    <mergeCell ref="B9:E9"/>
    <mergeCell ref="D11:D12"/>
    <mergeCell ref="F7:J10"/>
    <mergeCell ref="B20:B23"/>
    <mergeCell ref="F16:J17"/>
    <mergeCell ref="F18:J18"/>
    <mergeCell ref="B16:B18"/>
    <mergeCell ref="C16:C18"/>
    <mergeCell ref="D20:D22"/>
    <mergeCell ref="E20:E22"/>
    <mergeCell ref="F20:J22"/>
    <mergeCell ref="D16:D17"/>
    <mergeCell ref="E16:E17"/>
    <mergeCell ref="A40:A41"/>
    <mergeCell ref="B40:B42"/>
    <mergeCell ref="C40:C42"/>
    <mergeCell ref="D40:D41"/>
    <mergeCell ref="B44:B47"/>
    <mergeCell ref="D44:D46"/>
    <mergeCell ref="E44:E46"/>
    <mergeCell ref="F44:J46"/>
    <mergeCell ref="E64:E65"/>
    <mergeCell ref="E40:E41"/>
    <mergeCell ref="F40:J41"/>
    <mergeCell ref="F42:J42"/>
    <mergeCell ref="F64:J65"/>
    <mergeCell ref="B64:B65"/>
    <mergeCell ref="C64:C65"/>
    <mergeCell ref="D64:D65"/>
    <mergeCell ref="F80:J81"/>
    <mergeCell ref="A75:J75"/>
    <mergeCell ref="B77:B79"/>
    <mergeCell ref="C77:C79"/>
    <mergeCell ref="D77:D79"/>
    <mergeCell ref="F77:J79"/>
    <mergeCell ref="E77:E79"/>
    <mergeCell ref="F92:J93"/>
    <mergeCell ref="B80:B81"/>
    <mergeCell ref="C80:C81"/>
    <mergeCell ref="D80:D81"/>
    <mergeCell ref="E80:E81"/>
    <mergeCell ref="B92:B93"/>
    <mergeCell ref="C92:C93"/>
    <mergeCell ref="D92:D93"/>
    <mergeCell ref="E92:E93"/>
    <mergeCell ref="B106:B107"/>
    <mergeCell ref="C106:C107"/>
    <mergeCell ref="D106:D107"/>
    <mergeCell ref="E106:E107"/>
    <mergeCell ref="F116:J117"/>
    <mergeCell ref="F106:J107"/>
    <mergeCell ref="B116:B117"/>
    <mergeCell ref="C116:C117"/>
    <mergeCell ref="D116:D117"/>
    <mergeCell ref="E116:E117"/>
    <mergeCell ref="B120:B121"/>
    <mergeCell ref="C120:C121"/>
    <mergeCell ref="D120:D121"/>
    <mergeCell ref="E120:E121"/>
    <mergeCell ref="F120:J121"/>
  </mergeCells>
  <phoneticPr fontId="0" type="noConversion"/>
  <printOptions horizontalCentered="1"/>
  <pageMargins left="0" right="0" top="0.5" bottom="0.5" header="0.25" footer="0.25"/>
  <pageSetup scale="65" orientation="portrait" r:id="rId1"/>
  <headerFooter alignWithMargins="0"/>
  <rowBreaks count="3" manualBreakCount="3">
    <brk id="38" max="16383" man="1"/>
    <brk id="75" max="16383" man="1"/>
    <brk id="1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KRA Report</vt:lpstr>
      <vt:lpstr>'KRA Report'!Print_Area</vt:lpstr>
      <vt:lpstr>Print_Sales_Report</vt:lpstr>
      <vt:lpstr>'KRA Report'!Print_Titles</vt:lpstr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House</dc:creator>
  <cp:lastModifiedBy>Garry House</cp:lastModifiedBy>
  <cp:lastPrinted>2017-01-31T17:54:43Z</cp:lastPrinted>
  <dcterms:created xsi:type="dcterms:W3CDTF">1997-01-23T02:30:40Z</dcterms:created>
  <dcterms:modified xsi:type="dcterms:W3CDTF">2017-01-31T17:54:48Z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1763572431</vt:i4>
  </property>
  <property fmtid="{D5CDD505-2E9C-101B-9397-08002B2CF9AE}" pid="3" name="_EmailSubject">
    <vt:lpwstr>SCORECARD FROM WED OCT 25</vt:lpwstr>
  </property>
  <property fmtid="{D5CDD505-2E9C-101B-9397-08002B2CF9AE}" pid="4" name="_AuthorEmail">
    <vt:lpwstr>mistyyork@jupiterchev.com</vt:lpwstr>
  </property>
  <property fmtid="{D5CDD505-2E9C-101B-9397-08002B2CF9AE}" pid="5" name="_AuthorEmailDisplayName">
    <vt:lpwstr>Misty York</vt:lpwstr>
  </property>
  <property fmtid="{D5CDD505-2E9C-101B-9397-08002B2CF9AE}" pid="6" name="_ReviewingToolsShownOnce">
    <vt:lpwstr/>
  </property>
</Properties>
</file>